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\\nafs01\anvandare\ddan\Documents\"/>
    </mc:Choice>
  </mc:AlternateContent>
  <bookViews>
    <workbookView xWindow="0" yWindow="0" windowWidth="23040" windowHeight="9192"/>
  </bookViews>
  <sheets>
    <sheet name="mjölkrastjurar" sheetId="10" r:id="rId1"/>
    <sheet name="mjölkraskvigor &amp; stutar" sheetId="11" r:id="rId2"/>
    <sheet name="köttrastjurar" sheetId="12" r:id="rId3"/>
    <sheet name="köttraskvigor &amp; stutar" sheetId="13" r:id="rId4"/>
  </sheets>
  <definedNames>
    <definedName name="_xlnm.Print_Area" localSheetId="3">'köttraskvigor &amp; stutar'!$A$1:$P$71</definedName>
    <definedName name="_xlnm.Print_Area" localSheetId="2">köttrastjurar!$A$1:$P$71</definedName>
    <definedName name="_xlnm.Print_Area" localSheetId="1">'mjölkraskvigor &amp; stutar'!$A$1:$P$71</definedName>
    <definedName name="_xlnm.Print_Area" localSheetId="0">mjölkrastjurar!$A$1:$O$71</definedName>
  </definedNames>
  <calcPr calcId="162913"/>
</workbook>
</file>

<file path=xl/calcChain.xml><?xml version="1.0" encoding="utf-8"?>
<calcChain xmlns="http://schemas.openxmlformats.org/spreadsheetml/2006/main">
  <c r="R5" i="13" l="1"/>
  <c r="S5" i="13"/>
  <c r="T5" i="13"/>
  <c r="R6" i="13"/>
  <c r="S6" i="13"/>
  <c r="T6" i="13"/>
  <c r="R7" i="13"/>
  <c r="S7" i="13"/>
  <c r="T7" i="13" s="1"/>
  <c r="Z7" i="13"/>
  <c r="R8" i="13"/>
  <c r="S8" i="13"/>
  <c r="T8" i="13" s="1"/>
  <c r="Z8" i="13"/>
  <c r="Z9" i="13"/>
  <c r="F10" i="13"/>
  <c r="R10" i="13"/>
  <c r="S10" i="13"/>
  <c r="F11" i="13"/>
  <c r="R11" i="13"/>
  <c r="S11" i="13"/>
  <c r="U11" i="13" s="1"/>
  <c r="U16" i="13" s="1"/>
  <c r="C63" i="13" s="1"/>
  <c r="T11" i="13"/>
  <c r="R12" i="13"/>
  <c r="S12" i="13"/>
  <c r="R13" i="13"/>
  <c r="S13" i="13"/>
  <c r="B14" i="13"/>
  <c r="B15" i="13" s="1"/>
  <c r="C14" i="13"/>
  <c r="L59" i="13" s="1"/>
  <c r="D14" i="13"/>
  <c r="D15" i="13" s="1"/>
  <c r="E14" i="13"/>
  <c r="E15" i="13"/>
  <c r="C15" i="13"/>
  <c r="R15" i="13"/>
  <c r="S15" i="13"/>
  <c r="R16" i="13"/>
  <c r="S16" i="13"/>
  <c r="R17" i="13"/>
  <c r="S17" i="13"/>
  <c r="R18" i="13"/>
  <c r="S18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F33" i="13" s="1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R33" i="13" s="1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BG23" i="13"/>
  <c r="BH23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BG31" i="13"/>
  <c r="BH31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F32" i="13"/>
  <c r="BG32" i="13"/>
  <c r="BH32" i="13"/>
  <c r="B33" i="13"/>
  <c r="C33" i="13"/>
  <c r="D33" i="13"/>
  <c r="E33" i="13"/>
  <c r="Q33" i="13"/>
  <c r="R33" i="13"/>
  <c r="S33" i="13"/>
  <c r="S34" i="13" s="1"/>
  <c r="D45" i="13"/>
  <c r="D46" i="13" s="1"/>
  <c r="U33" i="13"/>
  <c r="B47" i="13" s="1"/>
  <c r="V33" i="13"/>
  <c r="X33" i="13"/>
  <c r="Y33" i="13"/>
  <c r="B52" i="13" s="1"/>
  <c r="Z33" i="13"/>
  <c r="AC33" i="13"/>
  <c r="AD33" i="13"/>
  <c r="AG33" i="13"/>
  <c r="K59" i="13" s="1"/>
  <c r="AH33" i="13"/>
  <c r="AI33" i="13"/>
  <c r="AK33" i="13"/>
  <c r="AL33" i="13"/>
  <c r="AM33" i="13"/>
  <c r="AO33" i="13"/>
  <c r="K45" i="13" s="1"/>
  <c r="AP33" i="13"/>
  <c r="AS33" i="13"/>
  <c r="AT33" i="13"/>
  <c r="AU33" i="13"/>
  <c r="AU34" i="13" s="1"/>
  <c r="AU35" i="13" s="1"/>
  <c r="AW33" i="13"/>
  <c r="AX33" i="13"/>
  <c r="AY33" i="13"/>
  <c r="BA33" i="13"/>
  <c r="BB33" i="13"/>
  <c r="BB34" i="13" s="1"/>
  <c r="BB35" i="13" s="1"/>
  <c r="L60" i="13" s="1"/>
  <c r="BC33" i="13"/>
  <c r="BC34" i="13" s="1"/>
  <c r="BC35" i="13" s="1"/>
  <c r="M60" i="13" s="1"/>
  <c r="BE33" i="13"/>
  <c r="BF33" i="13"/>
  <c r="BF34" i="13" s="1"/>
  <c r="BG33" i="13"/>
  <c r="BG34" i="13" s="1"/>
  <c r="Q34" i="13"/>
  <c r="R34" i="13"/>
  <c r="V34" i="13"/>
  <c r="Y34" i="13"/>
  <c r="Z34" i="13"/>
  <c r="AD34" i="13"/>
  <c r="AG34" i="13"/>
  <c r="AG35" i="13" s="1"/>
  <c r="B53" i="13" s="1"/>
  <c r="AH34" i="13"/>
  <c r="AK34" i="13"/>
  <c r="AK35" i="13" s="1"/>
  <c r="AL34" i="13"/>
  <c r="AL35" i="13" s="1"/>
  <c r="AO34" i="13"/>
  <c r="AO35" i="13" s="1"/>
  <c r="AS34" i="13"/>
  <c r="AS35" i="13" s="1"/>
  <c r="AT34" i="13"/>
  <c r="AW34" i="13"/>
  <c r="AX34" i="13"/>
  <c r="BA34" i="13"/>
  <c r="BE34" i="13"/>
  <c r="AH35" i="13"/>
  <c r="AT35" i="13"/>
  <c r="BA35" i="13"/>
  <c r="K60" i="13" s="1"/>
  <c r="A37" i="13"/>
  <c r="B39" i="13"/>
  <c r="B40" i="13"/>
  <c r="B45" i="13"/>
  <c r="C45" i="13"/>
  <c r="C47" i="13"/>
  <c r="K48" i="13"/>
  <c r="L48" i="13"/>
  <c r="K49" i="13"/>
  <c r="L49" i="13"/>
  <c r="M49" i="13"/>
  <c r="C52" i="13"/>
  <c r="C53" i="13"/>
  <c r="K53" i="13"/>
  <c r="L53" i="13"/>
  <c r="B54" i="13"/>
  <c r="C54" i="13"/>
  <c r="K54" i="13"/>
  <c r="L54" i="13"/>
  <c r="C55" i="13"/>
  <c r="K55" i="13"/>
  <c r="L55" i="13"/>
  <c r="B56" i="13"/>
  <c r="C56" i="13"/>
  <c r="B57" i="13"/>
  <c r="C57" i="13"/>
  <c r="B58" i="13"/>
  <c r="C58" i="13"/>
  <c r="K64" i="13"/>
  <c r="L64" i="13"/>
  <c r="M64" i="13"/>
  <c r="R5" i="12"/>
  <c r="S5" i="12"/>
  <c r="T5" i="12"/>
  <c r="R6" i="12"/>
  <c r="S6" i="12"/>
  <c r="T6" i="12"/>
  <c r="R7" i="12"/>
  <c r="S7" i="12"/>
  <c r="T7" i="12"/>
  <c r="Z7" i="12"/>
  <c r="R8" i="12"/>
  <c r="S8" i="12"/>
  <c r="T8" i="12"/>
  <c r="Z8" i="12"/>
  <c r="Z9" i="12"/>
  <c r="F10" i="12"/>
  <c r="R10" i="12"/>
  <c r="S10" i="12"/>
  <c r="F11" i="12"/>
  <c r="R11" i="12"/>
  <c r="S11" i="12"/>
  <c r="R12" i="12"/>
  <c r="S12" i="12"/>
  <c r="R13" i="12"/>
  <c r="S13" i="12"/>
  <c r="T13" i="12"/>
  <c r="V13" i="12" s="1"/>
  <c r="B14" i="12"/>
  <c r="B15" i="12" s="1"/>
  <c r="C14" i="12"/>
  <c r="C15" i="12" s="1"/>
  <c r="D14" i="12"/>
  <c r="E14" i="12"/>
  <c r="E15" i="12" s="1"/>
  <c r="D15" i="12"/>
  <c r="R15" i="12"/>
  <c r="S15" i="12"/>
  <c r="R16" i="12"/>
  <c r="S16" i="12"/>
  <c r="R17" i="12"/>
  <c r="S17" i="12"/>
  <c r="R18" i="12"/>
  <c r="S18" i="12"/>
  <c r="Q22" i="12"/>
  <c r="R22" i="12"/>
  <c r="V22" i="12" s="1"/>
  <c r="S22" i="12"/>
  <c r="T22" i="12"/>
  <c r="X22" i="12"/>
  <c r="AB22" i="12"/>
  <c r="AF22" i="12"/>
  <c r="AJ22" i="12"/>
  <c r="BD22" i="12" s="1"/>
  <c r="AN22" i="12"/>
  <c r="AP22" i="12"/>
  <c r="AR22" i="12"/>
  <c r="AT22" i="12"/>
  <c r="AU22" i="12"/>
  <c r="AW22" i="12"/>
  <c r="AX22" i="12"/>
  <c r="AY22" i="12"/>
  <c r="AZ22" i="12"/>
  <c r="BF22" i="12"/>
  <c r="BG22" i="12"/>
  <c r="Q23" i="12"/>
  <c r="R23" i="12"/>
  <c r="R33" i="12" s="1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BF23" i="12"/>
  <c r="BG23" i="12"/>
  <c r="BH23" i="12"/>
  <c r="Q24" i="12"/>
  <c r="U24" i="12"/>
  <c r="R24" i="12"/>
  <c r="S24" i="12"/>
  <c r="T24" i="12"/>
  <c r="X24" i="12" s="1"/>
  <c r="V24" i="12"/>
  <c r="W24" i="12"/>
  <c r="Y24" i="12"/>
  <c r="AA24" i="12"/>
  <c r="AC24" i="12"/>
  <c r="AD24" i="12"/>
  <c r="AE24" i="12"/>
  <c r="AG24" i="12"/>
  <c r="AH24" i="12"/>
  <c r="BB24" i="12" s="1"/>
  <c r="AI24" i="12"/>
  <c r="AK24" i="12"/>
  <c r="AM24" i="12"/>
  <c r="AO24" i="12"/>
  <c r="AQ24" i="12"/>
  <c r="AS24" i="12"/>
  <c r="AT24" i="12"/>
  <c r="AU24" i="12"/>
  <c r="AW24" i="12"/>
  <c r="AX24" i="12"/>
  <c r="AY24" i="12"/>
  <c r="AZ24" i="12"/>
  <c r="BA24" i="12"/>
  <c r="BC24" i="12"/>
  <c r="BE24" i="12"/>
  <c r="BG24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BF25" i="12"/>
  <c r="BG25" i="12"/>
  <c r="BH25" i="12"/>
  <c r="Q26" i="12"/>
  <c r="R26" i="12"/>
  <c r="S26" i="12"/>
  <c r="T26" i="12"/>
  <c r="W26" i="12"/>
  <c r="AA26" i="12"/>
  <c r="AD26" i="12"/>
  <c r="AE26" i="12"/>
  <c r="AI26" i="12"/>
  <c r="BC26" i="12" s="1"/>
  <c r="AM26" i="12"/>
  <c r="AP26" i="12"/>
  <c r="AQ26" i="12"/>
  <c r="AU26" i="12"/>
  <c r="AW26" i="12"/>
  <c r="AX26" i="12"/>
  <c r="AY26" i="12"/>
  <c r="AZ26" i="12"/>
  <c r="BG26" i="12"/>
  <c r="Q27" i="12"/>
  <c r="R27" i="12"/>
  <c r="S27" i="12"/>
  <c r="T27" i="12"/>
  <c r="V27" i="12"/>
  <c r="W27" i="12"/>
  <c r="Y27" i="12"/>
  <c r="Z27" i="12"/>
  <c r="AA27" i="12"/>
  <c r="AD27" i="12"/>
  <c r="AE27" i="12"/>
  <c r="AG27" i="12"/>
  <c r="AH27" i="12"/>
  <c r="AI27" i="12"/>
  <c r="BC27" i="12" s="1"/>
  <c r="AK27" i="12"/>
  <c r="AL27" i="12"/>
  <c r="AM27" i="12"/>
  <c r="AP27" i="12"/>
  <c r="AQ27" i="12"/>
  <c r="AT27" i="12"/>
  <c r="AU27" i="12"/>
  <c r="AW27" i="12"/>
  <c r="AX27" i="12"/>
  <c r="AY27" i="12"/>
  <c r="AZ27" i="12"/>
  <c r="BA27" i="12"/>
  <c r="BB27" i="12"/>
  <c r="BF27" i="12"/>
  <c r="BG27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Q29" i="12"/>
  <c r="U29" i="12"/>
  <c r="R29" i="12"/>
  <c r="S29" i="12"/>
  <c r="W29" i="12" s="1"/>
  <c r="T29" i="12"/>
  <c r="AN29" i="12" s="1"/>
  <c r="X29" i="12"/>
  <c r="AA29" i="12"/>
  <c r="AB29" i="12"/>
  <c r="AE29" i="12"/>
  <c r="AF29" i="12"/>
  <c r="AG29" i="12"/>
  <c r="AI29" i="12"/>
  <c r="AJ29" i="12"/>
  <c r="BD29" i="12" s="1"/>
  <c r="AK29" i="12"/>
  <c r="AM29" i="12"/>
  <c r="AO29" i="12"/>
  <c r="AQ29" i="12"/>
  <c r="AR29" i="12"/>
  <c r="AU29" i="12"/>
  <c r="AV29" i="12"/>
  <c r="AW29" i="12"/>
  <c r="AX29" i="12"/>
  <c r="AY29" i="12"/>
  <c r="AZ29" i="12"/>
  <c r="BA29" i="12"/>
  <c r="BC29" i="12"/>
  <c r="BE29" i="12"/>
  <c r="BF29" i="12"/>
  <c r="BG29" i="12"/>
  <c r="BH29" i="12"/>
  <c r="Q30" i="12"/>
  <c r="Y30" i="12" s="1"/>
  <c r="U30" i="12"/>
  <c r="R30" i="12"/>
  <c r="S30" i="12"/>
  <c r="T30" i="12"/>
  <c r="AJ30" i="12" s="1"/>
  <c r="BD30" i="12" s="1"/>
  <c r="V30" i="12"/>
  <c r="X30" i="12"/>
  <c r="Z30" i="12"/>
  <c r="AB30" i="12"/>
  <c r="AC30" i="12"/>
  <c r="AD30" i="12"/>
  <c r="AF30" i="12"/>
  <c r="AG30" i="12"/>
  <c r="AH30" i="12"/>
  <c r="AK30" i="12"/>
  <c r="AL30" i="12"/>
  <c r="AN30" i="12"/>
  <c r="AP30" i="12"/>
  <c r="AR30" i="12"/>
  <c r="AS30" i="12"/>
  <c r="AT30" i="12"/>
  <c r="AV30" i="12"/>
  <c r="AW30" i="12"/>
  <c r="AX30" i="12"/>
  <c r="AY30" i="12"/>
  <c r="AZ30" i="12"/>
  <c r="BA30" i="12"/>
  <c r="BB30" i="12"/>
  <c r="BE30" i="12"/>
  <c r="BF30" i="12"/>
  <c r="BH30" i="12"/>
  <c r="Q31" i="12"/>
  <c r="U31" i="12"/>
  <c r="R31" i="12"/>
  <c r="S31" i="12"/>
  <c r="T31" i="12"/>
  <c r="V31" i="12"/>
  <c r="X31" i="12"/>
  <c r="Y31" i="12"/>
  <c r="Z31" i="12"/>
  <c r="AB31" i="12"/>
  <c r="AC31" i="12"/>
  <c r="AD31" i="12"/>
  <c r="AF31" i="12"/>
  <c r="AG31" i="12"/>
  <c r="AH31" i="12"/>
  <c r="AJ31" i="12"/>
  <c r="AK31" i="12"/>
  <c r="AL31" i="12"/>
  <c r="AN31" i="12"/>
  <c r="AO31" i="12"/>
  <c r="AP31" i="12"/>
  <c r="AR31" i="12"/>
  <c r="AS31" i="12"/>
  <c r="AT31" i="12"/>
  <c r="AV31" i="12"/>
  <c r="AW31" i="12"/>
  <c r="AX31" i="12"/>
  <c r="AY31" i="12"/>
  <c r="AZ31" i="12"/>
  <c r="BA31" i="12"/>
  <c r="BB31" i="12"/>
  <c r="BD31" i="12"/>
  <c r="BE31" i="12"/>
  <c r="BF31" i="12"/>
  <c r="BH31" i="12"/>
  <c r="Q32" i="12"/>
  <c r="U32" i="12" s="1"/>
  <c r="R32" i="12"/>
  <c r="S32" i="12"/>
  <c r="T32" i="12"/>
  <c r="AB32" i="12" s="1"/>
  <c r="V32" i="12"/>
  <c r="Y32" i="12"/>
  <c r="Z32" i="12"/>
  <c r="AD32" i="12"/>
  <c r="AF32" i="12"/>
  <c r="AH32" i="12"/>
  <c r="AJ32" i="12"/>
  <c r="AK32" i="12"/>
  <c r="AL32" i="12"/>
  <c r="AO32" i="12"/>
  <c r="AP32" i="12"/>
  <c r="AT32" i="12"/>
  <c r="AV32" i="12"/>
  <c r="AW32" i="12"/>
  <c r="AX32" i="12"/>
  <c r="AY32" i="12"/>
  <c r="AZ32" i="12"/>
  <c r="AZ33" i="12" s="1"/>
  <c r="N53" i="12" s="1"/>
  <c r="BB32" i="12"/>
  <c r="BD32" i="12"/>
  <c r="BE32" i="12"/>
  <c r="BF32" i="12"/>
  <c r="B33" i="12"/>
  <c r="C33" i="12"/>
  <c r="D33" i="12"/>
  <c r="E33" i="12"/>
  <c r="T33" i="12"/>
  <c r="A37" i="12"/>
  <c r="B39" i="12"/>
  <c r="B40" i="12"/>
  <c r="H68" i="12"/>
  <c r="R5" i="11"/>
  <c r="S5" i="11"/>
  <c r="T5" i="11" s="1"/>
  <c r="R6" i="11"/>
  <c r="S6" i="11"/>
  <c r="T6" i="11"/>
  <c r="R7" i="11"/>
  <c r="S7" i="11"/>
  <c r="T7" i="11"/>
  <c r="Z7" i="11"/>
  <c r="R8" i="11"/>
  <c r="S8" i="11"/>
  <c r="T8" i="11"/>
  <c r="Z8" i="11"/>
  <c r="Z9" i="11"/>
  <c r="F10" i="11"/>
  <c r="R10" i="11"/>
  <c r="S10" i="11"/>
  <c r="W10" i="11" s="1"/>
  <c r="W15" i="11" s="1"/>
  <c r="F11" i="11"/>
  <c r="R11" i="11"/>
  <c r="S11" i="11"/>
  <c r="R12" i="11"/>
  <c r="S12" i="11"/>
  <c r="R13" i="11"/>
  <c r="S13" i="11"/>
  <c r="B14" i="11"/>
  <c r="B15" i="11"/>
  <c r="C14" i="11"/>
  <c r="C15" i="11" s="1"/>
  <c r="D14" i="11"/>
  <c r="D15" i="11"/>
  <c r="E14" i="11"/>
  <c r="E15" i="11" s="1"/>
  <c r="R15" i="11"/>
  <c r="S15" i="11"/>
  <c r="R16" i="11"/>
  <c r="S16" i="11"/>
  <c r="R17" i="11"/>
  <c r="S17" i="11"/>
  <c r="R18" i="11"/>
  <c r="S18" i="11"/>
  <c r="Q22" i="11"/>
  <c r="R22" i="11"/>
  <c r="Z22" i="11" s="1"/>
  <c r="S22" i="11"/>
  <c r="T22" i="11"/>
  <c r="U22" i="11"/>
  <c r="V22" i="11"/>
  <c r="W22" i="11"/>
  <c r="W33" i="11" s="1"/>
  <c r="D47" i="11" s="1"/>
  <c r="Y22" i="11"/>
  <c r="AB22" i="11"/>
  <c r="AC22" i="11"/>
  <c r="AF22" i="11"/>
  <c r="AG22" i="11"/>
  <c r="AJ22" i="11"/>
  <c r="AK22" i="11"/>
  <c r="AN22" i="11"/>
  <c r="AO22" i="11"/>
  <c r="AR22" i="11"/>
  <c r="AS22" i="11"/>
  <c r="AV22" i="11"/>
  <c r="AW22" i="11"/>
  <c r="AX22" i="11"/>
  <c r="AY22" i="11"/>
  <c r="AZ22" i="11"/>
  <c r="BA22" i="11"/>
  <c r="BD22" i="11"/>
  <c r="BE22" i="11"/>
  <c r="BH22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Q25" i="11"/>
  <c r="R25" i="11"/>
  <c r="S25" i="11"/>
  <c r="AA25" i="11" s="1"/>
  <c r="T25" i="11"/>
  <c r="U25" i="11"/>
  <c r="V25" i="11"/>
  <c r="W25" i="11"/>
  <c r="Y25" i="11"/>
  <c r="Z25" i="11"/>
  <c r="AC25" i="11"/>
  <c r="AD25" i="11"/>
  <c r="AG25" i="11"/>
  <c r="AH25" i="11"/>
  <c r="AK25" i="11"/>
  <c r="AL25" i="11"/>
  <c r="AO25" i="11"/>
  <c r="AP25" i="11"/>
  <c r="AS25" i="11"/>
  <c r="AT25" i="11"/>
  <c r="AW25" i="11"/>
  <c r="AX25" i="11"/>
  <c r="AY25" i="11"/>
  <c r="AZ25" i="11"/>
  <c r="BA25" i="11"/>
  <c r="BB25" i="11"/>
  <c r="BE25" i="11"/>
  <c r="BF25" i="11"/>
  <c r="Q26" i="11"/>
  <c r="R26" i="11"/>
  <c r="S26" i="11"/>
  <c r="T26" i="11"/>
  <c r="X26" i="11" s="1"/>
  <c r="U26" i="11"/>
  <c r="V26" i="11"/>
  <c r="W26" i="11"/>
  <c r="Y26" i="11"/>
  <c r="Z26" i="11"/>
  <c r="AA26" i="11"/>
  <c r="AC26" i="11"/>
  <c r="AD26" i="11"/>
  <c r="AE26" i="11"/>
  <c r="AG26" i="11"/>
  <c r="AH26" i="11"/>
  <c r="AI26" i="11"/>
  <c r="AK26" i="11"/>
  <c r="AL26" i="11"/>
  <c r="AM26" i="11"/>
  <c r="AO26" i="11"/>
  <c r="AP26" i="11"/>
  <c r="AQ26" i="11"/>
  <c r="AS26" i="11"/>
  <c r="AT26" i="11"/>
  <c r="AU26" i="11"/>
  <c r="AW26" i="11"/>
  <c r="AX26" i="11"/>
  <c r="AY26" i="11"/>
  <c r="AZ26" i="11"/>
  <c r="BA26" i="11"/>
  <c r="BB26" i="11"/>
  <c r="BC26" i="11"/>
  <c r="BE26" i="11"/>
  <c r="BF26" i="11"/>
  <c r="BG26" i="11"/>
  <c r="Q27" i="11"/>
  <c r="R27" i="11"/>
  <c r="S27" i="11"/>
  <c r="T27" i="11"/>
  <c r="U27" i="11"/>
  <c r="V27" i="11"/>
  <c r="V33" i="11" s="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BB28" i="11"/>
  <c r="BC28" i="11"/>
  <c r="BD28" i="11"/>
  <c r="BE28" i="11"/>
  <c r="BF28" i="11"/>
  <c r="BG28" i="11"/>
  <c r="BH28" i="11"/>
  <c r="Q29" i="11"/>
  <c r="R29" i="11"/>
  <c r="S29" i="11"/>
  <c r="AQ29" i="11" s="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BB29" i="11" s="1"/>
  <c r="AI29" i="11"/>
  <c r="AJ29" i="11"/>
  <c r="BD29" i="11" s="1"/>
  <c r="AK29" i="11"/>
  <c r="AL29" i="11"/>
  <c r="AM29" i="11"/>
  <c r="AN29" i="11"/>
  <c r="AO29" i="11"/>
  <c r="AS29" i="11"/>
  <c r="AT29" i="11"/>
  <c r="AU29" i="11"/>
  <c r="AW29" i="11"/>
  <c r="AX29" i="11"/>
  <c r="AY29" i="11"/>
  <c r="AY33" i="11" s="1"/>
  <c r="AZ29" i="11"/>
  <c r="BA29" i="11"/>
  <c r="BC29" i="11"/>
  <c r="BE29" i="11"/>
  <c r="Q30" i="11"/>
  <c r="R30" i="11"/>
  <c r="AD30" i="11" s="1"/>
  <c r="S30" i="11"/>
  <c r="AA30" i="11" s="1"/>
  <c r="T30" i="11"/>
  <c r="U30" i="11"/>
  <c r="V30" i="11"/>
  <c r="W30" i="11"/>
  <c r="X30" i="11"/>
  <c r="Y30" i="11"/>
  <c r="Y33" i="11" s="1"/>
  <c r="AB30" i="11"/>
  <c r="AC30" i="11"/>
  <c r="AC33" i="11" s="1"/>
  <c r="AE30" i="11"/>
  <c r="AF30" i="11"/>
  <c r="AG30" i="11"/>
  <c r="AG33" i="11" s="1"/>
  <c r="AH30" i="11"/>
  <c r="AI30" i="11"/>
  <c r="AJ30" i="11"/>
  <c r="BD30" i="11" s="1"/>
  <c r="AL30" i="11"/>
  <c r="AM30" i="11"/>
  <c r="AN30" i="11"/>
  <c r="AO30" i="11"/>
  <c r="AO33" i="11" s="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F30" i="11"/>
  <c r="BG30" i="11"/>
  <c r="BH30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33" i="11"/>
  <c r="C33" i="11"/>
  <c r="D33" i="11"/>
  <c r="E33" i="11"/>
  <c r="R33" i="11"/>
  <c r="A37" i="11"/>
  <c r="B39" i="11"/>
  <c r="B40" i="11"/>
  <c r="R5" i="10"/>
  <c r="S5" i="10"/>
  <c r="T5" i="10"/>
  <c r="R6" i="10"/>
  <c r="S6" i="10"/>
  <c r="T6" i="10"/>
  <c r="R7" i="10"/>
  <c r="S7" i="10"/>
  <c r="T7" i="10" s="1"/>
  <c r="Z7" i="10"/>
  <c r="R8" i="10"/>
  <c r="S8" i="10"/>
  <c r="T8" i="10" s="1"/>
  <c r="Z8" i="10"/>
  <c r="Z9" i="10"/>
  <c r="F10" i="10"/>
  <c r="R10" i="10"/>
  <c r="S10" i="10"/>
  <c r="T10" i="10" s="1"/>
  <c r="U10" i="10" s="1"/>
  <c r="F11" i="10"/>
  <c r="R11" i="10"/>
  <c r="S11" i="10"/>
  <c r="T11" i="10" s="1"/>
  <c r="W11" i="10"/>
  <c r="W16" i="10"/>
  <c r="R12" i="10"/>
  <c r="S12" i="10"/>
  <c r="W12" i="10"/>
  <c r="W17" i="10" s="1"/>
  <c r="R13" i="10"/>
  <c r="S13" i="10"/>
  <c r="B14" i="10"/>
  <c r="B15" i="10" s="1"/>
  <c r="C14" i="10"/>
  <c r="D14" i="10"/>
  <c r="D15" i="10"/>
  <c r="E14" i="10"/>
  <c r="E15" i="10" s="1"/>
  <c r="C15" i="10"/>
  <c r="R15" i="10"/>
  <c r="S15" i="10"/>
  <c r="R16" i="10"/>
  <c r="S16" i="10"/>
  <c r="R17" i="10"/>
  <c r="S17" i="10"/>
  <c r="R18" i="10"/>
  <c r="S18" i="10"/>
  <c r="Q22" i="10"/>
  <c r="R22" i="10"/>
  <c r="S22" i="10"/>
  <c r="W22" i="10"/>
  <c r="T22" i="10"/>
  <c r="U22" i="10"/>
  <c r="AA22" i="10"/>
  <c r="AE22" i="10"/>
  <c r="AI22" i="10"/>
  <c r="AM22" i="10"/>
  <c r="AQ22" i="10"/>
  <c r="AU22" i="10"/>
  <c r="AW22" i="10"/>
  <c r="AX22" i="10"/>
  <c r="AY22" i="10"/>
  <c r="AZ22" i="10"/>
  <c r="AZ33" i="10" s="1"/>
  <c r="BC22" i="10"/>
  <c r="BG22" i="10"/>
  <c r="BH22" i="10"/>
  <c r="Q23" i="10"/>
  <c r="R23" i="10"/>
  <c r="S23" i="10"/>
  <c r="T23" i="10"/>
  <c r="V23" i="10"/>
  <c r="W23" i="10"/>
  <c r="Z23" i="10"/>
  <c r="AD23" i="10"/>
  <c r="AH23" i="10"/>
  <c r="AI23" i="10"/>
  <c r="AL23" i="10"/>
  <c r="AM23" i="10"/>
  <c r="AP23" i="10"/>
  <c r="AT23" i="10"/>
  <c r="AW23" i="10"/>
  <c r="AX23" i="10"/>
  <c r="AY23" i="10"/>
  <c r="AZ23" i="10"/>
  <c r="BB23" i="10"/>
  <c r="BC23" i="10"/>
  <c r="BF23" i="10"/>
  <c r="BG23" i="10"/>
  <c r="Q24" i="10"/>
  <c r="R24" i="10"/>
  <c r="S24" i="10"/>
  <c r="T24" i="10"/>
  <c r="U24" i="10"/>
  <c r="V24" i="10"/>
  <c r="W24" i="10"/>
  <c r="Y24" i="10"/>
  <c r="Z24" i="10"/>
  <c r="AC24" i="10"/>
  <c r="AE24" i="10"/>
  <c r="AG24" i="10"/>
  <c r="AI24" i="10"/>
  <c r="BC24" i="10" s="1"/>
  <c r="AK24" i="10"/>
  <c r="AN24" i="10"/>
  <c r="AO24" i="10"/>
  <c r="AS24" i="10"/>
  <c r="AU24" i="10"/>
  <c r="AW24" i="10"/>
  <c r="AX24" i="10"/>
  <c r="AY24" i="10"/>
  <c r="AZ24" i="10"/>
  <c r="BA24" i="10"/>
  <c r="BE24" i="10"/>
  <c r="BH24" i="10"/>
  <c r="Q25" i="10"/>
  <c r="AK25" i="10" s="1"/>
  <c r="R25" i="10"/>
  <c r="S25" i="10"/>
  <c r="T25" i="10"/>
  <c r="X25" i="10"/>
  <c r="V25" i="10"/>
  <c r="W25" i="10"/>
  <c r="Z25" i="10"/>
  <c r="AA25" i="10"/>
  <c r="AD25" i="10"/>
  <c r="AE25" i="10"/>
  <c r="AH25" i="10"/>
  <c r="AI25" i="10"/>
  <c r="AL25" i="10"/>
  <c r="AM25" i="10"/>
  <c r="AP25" i="10"/>
  <c r="AQ25" i="10"/>
  <c r="AT25" i="10"/>
  <c r="AU25" i="10"/>
  <c r="AW25" i="10"/>
  <c r="AX25" i="10"/>
  <c r="AY25" i="10"/>
  <c r="AZ25" i="10"/>
  <c r="BB25" i="10"/>
  <c r="BC25" i="10"/>
  <c r="BE25" i="10"/>
  <c r="BF25" i="10"/>
  <c r="BG25" i="10"/>
  <c r="Q26" i="10"/>
  <c r="R26" i="10"/>
  <c r="S26" i="10"/>
  <c r="T26" i="10"/>
  <c r="X26" i="10"/>
  <c r="V26" i="10"/>
  <c r="W26" i="10"/>
  <c r="Z26" i="10"/>
  <c r="AA26" i="10"/>
  <c r="AB26" i="10"/>
  <c r="AD26" i="10"/>
  <c r="AE26" i="10"/>
  <c r="AF26" i="10"/>
  <c r="AH26" i="10"/>
  <c r="AI26" i="10"/>
  <c r="AJ26" i="10"/>
  <c r="AL26" i="10"/>
  <c r="AM26" i="10"/>
  <c r="AN26" i="10"/>
  <c r="AP26" i="10"/>
  <c r="AQ26" i="10"/>
  <c r="AR26" i="10"/>
  <c r="AT26" i="10"/>
  <c r="AU26" i="10"/>
  <c r="AV26" i="10"/>
  <c r="AW26" i="10"/>
  <c r="AX26" i="10"/>
  <c r="AY26" i="10"/>
  <c r="AZ26" i="10"/>
  <c r="BB26" i="10"/>
  <c r="BC26" i="10"/>
  <c r="BD26" i="10"/>
  <c r="BF26" i="10"/>
  <c r="BG26" i="10"/>
  <c r="BH26" i="10"/>
  <c r="Q27" i="10"/>
  <c r="R27" i="10"/>
  <c r="S27" i="10"/>
  <c r="T27" i="10"/>
  <c r="X27" i="10" s="1"/>
  <c r="U27" i="10"/>
  <c r="V27" i="10"/>
  <c r="Y27" i="10"/>
  <c r="Z27" i="10"/>
  <c r="AC27" i="10"/>
  <c r="AD27" i="10"/>
  <c r="AG27" i="10"/>
  <c r="AH27" i="10"/>
  <c r="BB27" i="10" s="1"/>
  <c r="AL27" i="10"/>
  <c r="AO27" i="10"/>
  <c r="AP27" i="10"/>
  <c r="AS27" i="10"/>
  <c r="AT27" i="10"/>
  <c r="AW27" i="10"/>
  <c r="AX27" i="10"/>
  <c r="AY27" i="10"/>
  <c r="AZ27" i="10"/>
  <c r="BA27" i="10"/>
  <c r="BF27" i="10"/>
  <c r="Q28" i="10"/>
  <c r="R28" i="10"/>
  <c r="S28" i="10"/>
  <c r="W28" i="10" s="1"/>
  <c r="T28" i="10"/>
  <c r="X28" i="10" s="1"/>
  <c r="V28" i="10"/>
  <c r="Y28" i="10"/>
  <c r="Z28" i="10"/>
  <c r="AC28" i="10"/>
  <c r="AD28" i="10"/>
  <c r="AG28" i="10"/>
  <c r="AH28" i="10"/>
  <c r="AI28" i="10"/>
  <c r="BC28" i="10" s="1"/>
  <c r="AL28" i="10"/>
  <c r="AP28" i="10"/>
  <c r="AS28" i="10"/>
  <c r="AT28" i="10"/>
  <c r="AW28" i="10"/>
  <c r="AX28" i="10"/>
  <c r="AY28" i="10"/>
  <c r="AZ28" i="10"/>
  <c r="BA28" i="10"/>
  <c r="BB28" i="10"/>
  <c r="BF28" i="10"/>
  <c r="Q29" i="10"/>
  <c r="R29" i="10"/>
  <c r="S29" i="10"/>
  <c r="W29" i="10"/>
  <c r="T29" i="10"/>
  <c r="V29" i="10"/>
  <c r="Z29" i="10"/>
  <c r="AA29" i="10"/>
  <c r="AD29" i="10"/>
  <c r="AE29" i="10"/>
  <c r="AH29" i="10"/>
  <c r="AI29" i="10"/>
  <c r="AL29" i="10"/>
  <c r="AM29" i="10"/>
  <c r="AP29" i="10"/>
  <c r="AQ29" i="10"/>
  <c r="AT29" i="10"/>
  <c r="AU29" i="10"/>
  <c r="AW29" i="10"/>
  <c r="AX29" i="10"/>
  <c r="AY29" i="10"/>
  <c r="AZ29" i="10"/>
  <c r="BB29" i="10"/>
  <c r="BC29" i="10"/>
  <c r="BF29" i="10"/>
  <c r="BG29" i="10"/>
  <c r="Q30" i="10"/>
  <c r="R30" i="10"/>
  <c r="S30" i="10"/>
  <c r="W30" i="10" s="1"/>
  <c r="T30" i="10"/>
  <c r="V30" i="10"/>
  <c r="Z30" i="10"/>
  <c r="AA30" i="10"/>
  <c r="AD30" i="10"/>
  <c r="AE30" i="10"/>
  <c r="AH30" i="10"/>
  <c r="AI30" i="10"/>
  <c r="AJ30" i="10"/>
  <c r="AL30" i="10"/>
  <c r="AM30" i="10"/>
  <c r="AN30" i="10"/>
  <c r="AP30" i="10"/>
  <c r="AQ30" i="10"/>
  <c r="AR30" i="10"/>
  <c r="AT30" i="10"/>
  <c r="AU30" i="10"/>
  <c r="AV30" i="10"/>
  <c r="AW30" i="10"/>
  <c r="AX30" i="10"/>
  <c r="AY30" i="10"/>
  <c r="AZ30" i="10"/>
  <c r="BB30" i="10"/>
  <c r="BC30" i="10"/>
  <c r="BD30" i="10"/>
  <c r="BF30" i="10"/>
  <c r="BG30" i="10"/>
  <c r="BH30" i="10"/>
  <c r="Q31" i="10"/>
  <c r="U31" i="10" s="1"/>
  <c r="R31" i="10"/>
  <c r="S31" i="10"/>
  <c r="W31" i="10" s="1"/>
  <c r="T31" i="10"/>
  <c r="X31" i="10" s="1"/>
  <c r="V31" i="10"/>
  <c r="Y31" i="10"/>
  <c r="Z31" i="10"/>
  <c r="AA31" i="10"/>
  <c r="AC31" i="10"/>
  <c r="AD31" i="10"/>
  <c r="AE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W33" i="10" s="1"/>
  <c r="AX31" i="10"/>
  <c r="AY31" i="10"/>
  <c r="AZ31" i="10"/>
  <c r="BA31" i="10"/>
  <c r="BB31" i="10"/>
  <c r="BC31" i="10"/>
  <c r="BD31" i="10"/>
  <c r="BE31" i="10"/>
  <c r="BF31" i="10"/>
  <c r="BG31" i="10"/>
  <c r="BH31" i="10"/>
  <c r="Q32" i="10"/>
  <c r="R32" i="10"/>
  <c r="S32" i="10"/>
  <c r="AI32" i="10" s="1"/>
  <c r="BC32" i="10" s="1"/>
  <c r="T32" i="10"/>
  <c r="V32" i="10"/>
  <c r="Z32" i="10"/>
  <c r="AD32" i="10"/>
  <c r="AH32" i="10"/>
  <c r="AL32" i="10"/>
  <c r="AP32" i="10"/>
  <c r="AT32" i="10"/>
  <c r="AW32" i="10"/>
  <c r="AX32" i="10"/>
  <c r="AY32" i="10"/>
  <c r="AZ32" i="10"/>
  <c r="BB32" i="10"/>
  <c r="BF32" i="10"/>
  <c r="B33" i="10"/>
  <c r="C33" i="10"/>
  <c r="D33" i="10"/>
  <c r="E33" i="10"/>
  <c r="A37" i="10"/>
  <c r="B39" i="10"/>
  <c r="B40" i="10"/>
  <c r="V18" i="12"/>
  <c r="T18" i="12"/>
  <c r="T16" i="13"/>
  <c r="C62" i="13" s="1"/>
  <c r="C68" i="13"/>
  <c r="C69" i="13" s="1"/>
  <c r="C70" i="13" s="1"/>
  <c r="X13" i="10"/>
  <c r="X18" i="10" s="1"/>
  <c r="X11" i="10"/>
  <c r="X12" i="11"/>
  <c r="X17" i="11"/>
  <c r="X12" i="12"/>
  <c r="X17" i="12" s="1"/>
  <c r="X13" i="13"/>
  <c r="X18" i="13" s="1"/>
  <c r="X11" i="13"/>
  <c r="X16" i="13"/>
  <c r="L47" i="13" s="1"/>
  <c r="V11" i="13"/>
  <c r="V16" i="13" s="1"/>
  <c r="C64" i="13"/>
  <c r="X10" i="13"/>
  <c r="W11" i="12"/>
  <c r="W16" i="12"/>
  <c r="B54" i="11"/>
  <c r="K59" i="11"/>
  <c r="B55" i="11"/>
  <c r="B68" i="11"/>
  <c r="B69" i="11" s="1"/>
  <c r="B70" i="11"/>
  <c r="B52" i="11"/>
  <c r="K46" i="11"/>
  <c r="AB24" i="10"/>
  <c r="T12" i="13"/>
  <c r="U12" i="13" s="1"/>
  <c r="U17" i="13" s="1"/>
  <c r="D63" i="13" s="1"/>
  <c r="X12" i="13"/>
  <c r="W12" i="13"/>
  <c r="BH32" i="10"/>
  <c r="AV32" i="10"/>
  <c r="AN32" i="10"/>
  <c r="AJ32" i="10"/>
  <c r="BD32" i="10"/>
  <c r="AB32" i="10"/>
  <c r="BH27" i="10"/>
  <c r="AV27" i="10"/>
  <c r="AR27" i="10"/>
  <c r="AN27" i="10"/>
  <c r="AJ27" i="10"/>
  <c r="BD27" i="10" s="1"/>
  <c r="AF27" i="10"/>
  <c r="AB27" i="10"/>
  <c r="V11" i="10"/>
  <c r="V16" i="10"/>
  <c r="BA33" i="11"/>
  <c r="AW33" i="11"/>
  <c r="X15" i="13"/>
  <c r="K47" i="13" s="1"/>
  <c r="X16" i="10"/>
  <c r="U15" i="10"/>
  <c r="BH28" i="10"/>
  <c r="AV28" i="10"/>
  <c r="AR28" i="10"/>
  <c r="AN28" i="10"/>
  <c r="AJ28" i="10"/>
  <c r="BD28" i="10" s="1"/>
  <c r="AF28" i="10"/>
  <c r="AB28" i="10"/>
  <c r="T13" i="10"/>
  <c r="W13" i="10"/>
  <c r="T12" i="10"/>
  <c r="T17" i="10"/>
  <c r="V12" i="10"/>
  <c r="V17" i="10" s="1"/>
  <c r="X12" i="10"/>
  <c r="X17" i="10"/>
  <c r="U11" i="10"/>
  <c r="U16" i="10"/>
  <c r="V10" i="10"/>
  <c r="T15" i="10"/>
  <c r="M54" i="11"/>
  <c r="M55" i="11" s="1"/>
  <c r="T4" i="12"/>
  <c r="T16" i="10"/>
  <c r="T4" i="10"/>
  <c r="T13" i="11"/>
  <c r="V13" i="11" s="1"/>
  <c r="V18" i="11"/>
  <c r="W13" i="11"/>
  <c r="X13" i="11"/>
  <c r="R34" i="12"/>
  <c r="C45" i="12"/>
  <c r="AZ33" i="11"/>
  <c r="T11" i="11"/>
  <c r="V11" i="11" s="1"/>
  <c r="V16" i="11" s="1"/>
  <c r="W11" i="11"/>
  <c r="T10" i="12"/>
  <c r="W10" i="12"/>
  <c r="X10" i="12"/>
  <c r="T13" i="13"/>
  <c r="W13" i="13"/>
  <c r="X11" i="11"/>
  <c r="X16" i="11"/>
  <c r="T10" i="11"/>
  <c r="X10" i="11"/>
  <c r="N54" i="12"/>
  <c r="N55" i="12" s="1"/>
  <c r="AZ34" i="12"/>
  <c r="T34" i="12"/>
  <c r="E45" i="12"/>
  <c r="T12" i="12"/>
  <c r="W12" i="12"/>
  <c r="W17" i="12"/>
  <c r="B48" i="13"/>
  <c r="B50" i="13"/>
  <c r="B49" i="13"/>
  <c r="B46" i="13"/>
  <c r="T12" i="11"/>
  <c r="W12" i="11"/>
  <c r="W17" i="11"/>
  <c r="AS33" i="11"/>
  <c r="M54" i="13"/>
  <c r="M55" i="13" s="1"/>
  <c r="C49" i="13"/>
  <c r="C46" i="12"/>
  <c r="U12" i="12"/>
  <c r="U17" i="12" s="1"/>
  <c r="V10" i="11"/>
  <c r="T9" i="11"/>
  <c r="T15" i="11"/>
  <c r="B62" i="11" s="1"/>
  <c r="W15" i="12"/>
  <c r="U12" i="11"/>
  <c r="U17" i="11" s="1"/>
  <c r="E46" i="12"/>
  <c r="W18" i="13"/>
  <c r="N46" i="13" s="1"/>
  <c r="U10" i="12"/>
  <c r="U15" i="12" s="1"/>
  <c r="T15" i="12"/>
  <c r="V10" i="12"/>
  <c r="V15" i="12" s="1"/>
  <c r="U13" i="11"/>
  <c r="U18" i="11"/>
  <c r="U12" i="10"/>
  <c r="U17" i="10" s="1"/>
  <c r="U13" i="10"/>
  <c r="U18" i="10"/>
  <c r="N54" i="11"/>
  <c r="N55" i="11"/>
  <c r="T18" i="11"/>
  <c r="W17" i="13"/>
  <c r="T17" i="13"/>
  <c r="U11" i="11"/>
  <c r="U16" i="11" s="1"/>
  <c r="X18" i="11"/>
  <c r="U10" i="11"/>
  <c r="U13" i="13"/>
  <c r="U18" i="13"/>
  <c r="T18" i="13"/>
  <c r="V13" i="13"/>
  <c r="V18" i="13"/>
  <c r="E64" i="13"/>
  <c r="W16" i="11"/>
  <c r="W9" i="11"/>
  <c r="W14" i="11"/>
  <c r="T16" i="11"/>
  <c r="W18" i="11"/>
  <c r="V15" i="10"/>
  <c r="W18" i="10"/>
  <c r="V12" i="13"/>
  <c r="V17" i="13" s="1"/>
  <c r="U15" i="11"/>
  <c r="B63" i="11"/>
  <c r="U9" i="11"/>
  <c r="U14" i="11" s="1"/>
  <c r="V15" i="11"/>
  <c r="B64" i="11"/>
  <c r="T18" i="10" l="1"/>
  <c r="V13" i="10"/>
  <c r="AW34" i="11"/>
  <c r="U29" i="10"/>
  <c r="AK29" i="10"/>
  <c r="BE29" i="10"/>
  <c r="AC29" i="10"/>
  <c r="AS29" i="10"/>
  <c r="Y29" i="10"/>
  <c r="AG29" i="10"/>
  <c r="BA29" i="10" s="1"/>
  <c r="Q33" i="10"/>
  <c r="U22" i="12"/>
  <c r="AS22" i="12"/>
  <c r="BE22" i="12"/>
  <c r="AC22" i="12"/>
  <c r="AK22" i="12"/>
  <c r="AO22" i="12"/>
  <c r="Y22" i="12"/>
  <c r="AG22" i="12"/>
  <c r="Q33" i="12"/>
  <c r="AC34" i="13"/>
  <c r="B55" i="13"/>
  <c r="V12" i="11"/>
  <c r="T17" i="11"/>
  <c r="X15" i="11"/>
  <c r="K47" i="11" s="1"/>
  <c r="X9" i="11"/>
  <c r="X14" i="11" s="1"/>
  <c r="T9" i="10"/>
  <c r="T14" i="10" s="1"/>
  <c r="X29" i="10"/>
  <c r="AB29" i="10"/>
  <c r="AF29" i="10"/>
  <c r="AJ29" i="10"/>
  <c r="BD29" i="10" s="1"/>
  <c r="AN29" i="10"/>
  <c r="AR29" i="10"/>
  <c r="AV29" i="10"/>
  <c r="BH29" i="10"/>
  <c r="AE27" i="10"/>
  <c r="AU27" i="10"/>
  <c r="AM27" i="10"/>
  <c r="W27" i="10"/>
  <c r="AQ27" i="10"/>
  <c r="AA27" i="10"/>
  <c r="AI27" i="10"/>
  <c r="BC27" i="10" s="1"/>
  <c r="BC33" i="10" s="1"/>
  <c r="BC34" i="10" s="1"/>
  <c r="BC35" i="10" s="1"/>
  <c r="M60" i="10" s="1"/>
  <c r="BG27" i="10"/>
  <c r="U9" i="10"/>
  <c r="U14" i="10" s="1"/>
  <c r="K54" i="11"/>
  <c r="K55" i="11" s="1"/>
  <c r="AO29" i="10"/>
  <c r="V22" i="10"/>
  <c r="V33" i="10" s="1"/>
  <c r="BF22" i="10"/>
  <c r="R33" i="10"/>
  <c r="Z22" i="10"/>
  <c r="Z33" i="10" s="1"/>
  <c r="AH22" i="10"/>
  <c r="AP22" i="10"/>
  <c r="AD22" i="10"/>
  <c r="AL22" i="10"/>
  <c r="AT22" i="10"/>
  <c r="K48" i="11"/>
  <c r="K45" i="11"/>
  <c r="AJ33" i="11"/>
  <c r="X15" i="12"/>
  <c r="T17" i="12"/>
  <c r="V12" i="12"/>
  <c r="V17" i="12" s="1"/>
  <c r="AK32" i="10"/>
  <c r="BE32" i="10"/>
  <c r="U32" i="10"/>
  <c r="AO32" i="10"/>
  <c r="AS32" i="10"/>
  <c r="Y32" i="10"/>
  <c r="AG32" i="10"/>
  <c r="BA32" i="10" s="1"/>
  <c r="AC32" i="10"/>
  <c r="K54" i="10"/>
  <c r="K55" i="10" s="1"/>
  <c r="AW34" i="10"/>
  <c r="K53" i="10"/>
  <c r="AQ32" i="10"/>
  <c r="X32" i="10"/>
  <c r="AR32" i="10"/>
  <c r="AF32" i="10"/>
  <c r="AI33" i="10"/>
  <c r="X9" i="13"/>
  <c r="X14" i="13" s="1"/>
  <c r="X17" i="13"/>
  <c r="M47" i="13" s="1"/>
  <c r="AE32" i="10"/>
  <c r="AU32" i="10"/>
  <c r="AA32" i="10"/>
  <c r="W32" i="10"/>
  <c r="BG32" i="10"/>
  <c r="U30" i="10"/>
  <c r="Y30" i="10"/>
  <c r="AC30" i="10"/>
  <c r="AG30" i="10"/>
  <c r="BA30" i="10" s="1"/>
  <c r="AK30" i="10"/>
  <c r="AO30" i="10"/>
  <c r="AS30" i="10"/>
  <c r="BE30" i="10"/>
  <c r="AY33" i="10"/>
  <c r="U25" i="10"/>
  <c r="AG25" i="10"/>
  <c r="BA25" i="10" s="1"/>
  <c r="AC25" i="10"/>
  <c r="AS25" i="10"/>
  <c r="Y25" i="10"/>
  <c r="AO25" i="10"/>
  <c r="S33" i="10"/>
  <c r="N54" i="10"/>
  <c r="N55" i="10" s="1"/>
  <c r="R34" i="11"/>
  <c r="C45" i="11"/>
  <c r="V34" i="11"/>
  <c r="C47" i="11"/>
  <c r="C49" i="11" s="1"/>
  <c r="AM32" i="10"/>
  <c r="AF23" i="10"/>
  <c r="AV23" i="10"/>
  <c r="AJ23" i="10"/>
  <c r="BD23" i="10" s="1"/>
  <c r="AB23" i="10"/>
  <c r="AR23" i="10"/>
  <c r="X23" i="10"/>
  <c r="AN23" i="10"/>
  <c r="BH23" i="10"/>
  <c r="BH33" i="10" s="1"/>
  <c r="X30" i="10"/>
  <c r="AB30" i="10"/>
  <c r="AQ28" i="10"/>
  <c r="U26" i="10"/>
  <c r="Y26" i="10"/>
  <c r="AC26" i="10"/>
  <c r="AG26" i="10"/>
  <c r="BA26" i="10" s="1"/>
  <c r="AK26" i="10"/>
  <c r="AO26" i="10"/>
  <c r="AS26" i="10"/>
  <c r="BE26" i="10"/>
  <c r="AB25" i="10"/>
  <c r="AF25" i="10"/>
  <c r="AJ25" i="10"/>
  <c r="BD25" i="10" s="1"/>
  <c r="AN25" i="10"/>
  <c r="AR25" i="10"/>
  <c r="AV25" i="10"/>
  <c r="BH25" i="10"/>
  <c r="X24" i="10"/>
  <c r="AR24" i="10"/>
  <c r="AF24" i="10"/>
  <c r="AV24" i="10"/>
  <c r="AA23" i="10"/>
  <c r="AQ23" i="10"/>
  <c r="AE23" i="10"/>
  <c r="AU23" i="10"/>
  <c r="X22" i="10"/>
  <c r="X33" i="10" s="1"/>
  <c r="AB22" i="10"/>
  <c r="AF22" i="10"/>
  <c r="AJ22" i="10"/>
  <c r="AN22" i="10"/>
  <c r="AN33" i="10" s="1"/>
  <c r="AR22" i="10"/>
  <c r="AR33" i="10" s="1"/>
  <c r="AV22" i="10"/>
  <c r="T33" i="10"/>
  <c r="Y22" i="10"/>
  <c r="Y33" i="10" s="1"/>
  <c r="AC22" i="10"/>
  <c r="AG22" i="10"/>
  <c r="AK22" i="10"/>
  <c r="AO22" i="10"/>
  <c r="AS22" i="10"/>
  <c r="BE22" i="10"/>
  <c r="AX33" i="11"/>
  <c r="U33" i="11"/>
  <c r="T4" i="11"/>
  <c r="T14" i="11" s="1"/>
  <c r="U26" i="12"/>
  <c r="AG26" i="12"/>
  <c r="BA26" i="12" s="1"/>
  <c r="AS26" i="12"/>
  <c r="AO26" i="12"/>
  <c r="BE26" i="12"/>
  <c r="Y26" i="12"/>
  <c r="AK26" i="12"/>
  <c r="AW33" i="12"/>
  <c r="S33" i="12"/>
  <c r="AX33" i="12"/>
  <c r="AM34" i="13"/>
  <c r="AM35" i="13" s="1"/>
  <c r="D56" i="13" s="1"/>
  <c r="D57" i="13"/>
  <c r="AE28" i="10"/>
  <c r="AU28" i="10"/>
  <c r="AA28" i="10"/>
  <c r="AM28" i="10"/>
  <c r="AA24" i="10"/>
  <c r="AM24" i="10"/>
  <c r="AM33" i="10" s="1"/>
  <c r="BG24" i="10"/>
  <c r="BG33" i="10" s="1"/>
  <c r="AQ24" i="10"/>
  <c r="AX33" i="10"/>
  <c r="BF29" i="11"/>
  <c r="AP29" i="11"/>
  <c r="X25" i="11"/>
  <c r="AB25" i="11"/>
  <c r="AB33" i="11" s="1"/>
  <c r="AF25" i="11"/>
  <c r="AF33" i="11" s="1"/>
  <c r="AJ25" i="11"/>
  <c r="BD25" i="11" s="1"/>
  <c r="BD33" i="11" s="1"/>
  <c r="BD34" i="11" s="1"/>
  <c r="BD35" i="11" s="1"/>
  <c r="N60" i="11" s="1"/>
  <c r="AN25" i="11"/>
  <c r="AR25" i="11"/>
  <c r="AR33" i="11" s="1"/>
  <c r="AV25" i="11"/>
  <c r="BH25" i="11"/>
  <c r="AA22" i="11"/>
  <c r="AA33" i="11" s="1"/>
  <c r="AE22" i="11"/>
  <c r="AI22" i="11"/>
  <c r="AM22" i="11"/>
  <c r="AQ22" i="11"/>
  <c r="AQ33" i="11" s="1"/>
  <c r="AU22" i="11"/>
  <c r="BG22" i="11"/>
  <c r="S33" i="11"/>
  <c r="AF34" i="13"/>
  <c r="AF31" i="10"/>
  <c r="AB31" i="10"/>
  <c r="AF30" i="10"/>
  <c r="BG28" i="10"/>
  <c r="AJ24" i="10"/>
  <c r="BD24" i="10" s="1"/>
  <c r="AK30" i="11"/>
  <c r="AK33" i="11" s="1"/>
  <c r="BE30" i="11"/>
  <c r="BE33" i="11" s="1"/>
  <c r="Q33" i="11"/>
  <c r="BA34" i="11" s="1"/>
  <c r="BA35" i="11" s="1"/>
  <c r="K60" i="11" s="1"/>
  <c r="W32" i="12"/>
  <c r="AA32" i="12"/>
  <c r="AE32" i="12"/>
  <c r="AI32" i="12"/>
  <c r="BC32" i="12" s="1"/>
  <c r="AM32" i="12"/>
  <c r="AQ32" i="12"/>
  <c r="AU32" i="12"/>
  <c r="BG32" i="12"/>
  <c r="AD29" i="12"/>
  <c r="AH29" i="12"/>
  <c r="BB29" i="12" s="1"/>
  <c r="AL29" i="12"/>
  <c r="AP29" i="12"/>
  <c r="AT29" i="12"/>
  <c r="V29" i="12"/>
  <c r="Z29" i="12"/>
  <c r="AC26" i="12"/>
  <c r="T11" i="12"/>
  <c r="X11" i="12"/>
  <c r="X16" i="12" s="1"/>
  <c r="V11" i="12"/>
  <c r="V16" i="12" s="1"/>
  <c r="AK28" i="10"/>
  <c r="BE28" i="10"/>
  <c r="U23" i="10"/>
  <c r="U33" i="10" s="1"/>
  <c r="Y23" i="10"/>
  <c r="AC23" i="10"/>
  <c r="AG23" i="10"/>
  <c r="BA23" i="10" s="1"/>
  <c r="AK23" i="10"/>
  <c r="AO23" i="10"/>
  <c r="AS23" i="10"/>
  <c r="BE23" i="10"/>
  <c r="X22" i="11"/>
  <c r="X33" i="11" s="1"/>
  <c r="T33" i="11"/>
  <c r="W31" i="12"/>
  <c r="AA31" i="12"/>
  <c r="AE31" i="12"/>
  <c r="AI31" i="12"/>
  <c r="BC31" i="12" s="1"/>
  <c r="AM31" i="12"/>
  <c r="AQ31" i="12"/>
  <c r="AU31" i="12"/>
  <c r="BG31" i="12"/>
  <c r="X27" i="12"/>
  <c r="AB27" i="12"/>
  <c r="AF27" i="12"/>
  <c r="AJ27" i="12"/>
  <c r="BD27" i="12" s="1"/>
  <c r="AN27" i="12"/>
  <c r="AR27" i="12"/>
  <c r="AV27" i="12"/>
  <c r="BH27" i="12"/>
  <c r="AC27" i="12"/>
  <c r="AS27" i="12"/>
  <c r="V26" i="12"/>
  <c r="V33" i="12" s="1"/>
  <c r="AL26" i="12"/>
  <c r="BF26" i="12"/>
  <c r="Z24" i="12"/>
  <c r="AP24" i="12"/>
  <c r="AP33" i="12" s="1"/>
  <c r="AY34" i="13"/>
  <c r="M53" i="13"/>
  <c r="AI34" i="13"/>
  <c r="AI35" i="13" s="1"/>
  <c r="D53" i="13" s="1"/>
  <c r="M59" i="13"/>
  <c r="E47" i="13"/>
  <c r="BH33" i="13"/>
  <c r="BD33" i="13"/>
  <c r="BD34" i="13" s="1"/>
  <c r="BD35" i="13" s="1"/>
  <c r="N60" i="13" s="1"/>
  <c r="AZ33" i="13"/>
  <c r="AV33" i="13"/>
  <c r="AN33" i="13"/>
  <c r="AJ33" i="13"/>
  <c r="AB33" i="13"/>
  <c r="T33" i="13"/>
  <c r="W10" i="13"/>
  <c r="T10" i="13"/>
  <c r="U10" i="13" s="1"/>
  <c r="T4" i="13"/>
  <c r="W10" i="10"/>
  <c r="BG29" i="11"/>
  <c r="BH32" i="12"/>
  <c r="AS32" i="12"/>
  <c r="AN32" i="12"/>
  <c r="AC32" i="12"/>
  <c r="X32" i="12"/>
  <c r="BE27" i="12"/>
  <c r="AO27" i="12"/>
  <c r="AT26" i="12"/>
  <c r="AT33" i="12" s="1"/>
  <c r="AH26" i="12"/>
  <c r="BB26" i="12" s="1"/>
  <c r="X26" i="12"/>
  <c r="X33" i="12" s="1"/>
  <c r="AB26" i="12"/>
  <c r="AF26" i="12"/>
  <c r="AJ26" i="12"/>
  <c r="BD26" i="12" s="1"/>
  <c r="AN26" i="12"/>
  <c r="AR26" i="12"/>
  <c r="AV26" i="12"/>
  <c r="BH26" i="12"/>
  <c r="AL24" i="12"/>
  <c r="U13" i="12"/>
  <c r="U18" i="12" s="1"/>
  <c r="X10" i="10"/>
  <c r="B68" i="13"/>
  <c r="B69" i="13" s="1"/>
  <c r="B70" i="13" s="1"/>
  <c r="AO28" i="10"/>
  <c r="U28" i="10"/>
  <c r="AK27" i="10"/>
  <c r="BE27" i="10"/>
  <c r="AD24" i="10"/>
  <c r="AH24" i="10"/>
  <c r="BB24" i="10" s="1"/>
  <c r="AL24" i="10"/>
  <c r="AP24" i="10"/>
  <c r="AT24" i="10"/>
  <c r="BF24" i="10"/>
  <c r="Z30" i="11"/>
  <c r="Z33" i="11" s="1"/>
  <c r="AR29" i="11"/>
  <c r="AV29" i="11"/>
  <c r="BH29" i="11"/>
  <c r="BH26" i="11"/>
  <c r="AV26" i="11"/>
  <c r="AR26" i="11"/>
  <c r="AN26" i="11"/>
  <c r="AJ26" i="11"/>
  <c r="BD26" i="11" s="1"/>
  <c r="AF26" i="11"/>
  <c r="AB26" i="11"/>
  <c r="BG25" i="11"/>
  <c r="AU25" i="11"/>
  <c r="AQ25" i="11"/>
  <c r="AM25" i="11"/>
  <c r="AI25" i="11"/>
  <c r="BC25" i="11" s="1"/>
  <c r="AE25" i="11"/>
  <c r="BF22" i="11"/>
  <c r="BF33" i="11" s="1"/>
  <c r="AT22" i="11"/>
  <c r="AT33" i="11" s="1"/>
  <c r="AP22" i="11"/>
  <c r="AP33" i="11" s="1"/>
  <c r="AL22" i="11"/>
  <c r="AL33" i="11" s="1"/>
  <c r="AH22" i="11"/>
  <c r="AD22" i="11"/>
  <c r="AD33" i="11" s="1"/>
  <c r="AJ33" i="12"/>
  <c r="AR32" i="12"/>
  <c r="AG32" i="12"/>
  <c r="BA32" i="12" s="1"/>
  <c r="AO30" i="12"/>
  <c r="W30" i="12"/>
  <c r="AA30" i="12"/>
  <c r="AE30" i="12"/>
  <c r="AI30" i="12"/>
  <c r="BC30" i="12" s="1"/>
  <c r="AM30" i="12"/>
  <c r="AQ30" i="12"/>
  <c r="AU30" i="12"/>
  <c r="AU33" i="12" s="1"/>
  <c r="BG30" i="12"/>
  <c r="BG33" i="12" s="1"/>
  <c r="Y29" i="12"/>
  <c r="AC29" i="12"/>
  <c r="AS29" i="12"/>
  <c r="U27" i="12"/>
  <c r="Z26" i="12"/>
  <c r="BF24" i="12"/>
  <c r="BF33" i="12" s="1"/>
  <c r="AY33" i="12"/>
  <c r="W22" i="12"/>
  <c r="AA22" i="12"/>
  <c r="AE22" i="12"/>
  <c r="AE33" i="12" s="1"/>
  <c r="AI22" i="12"/>
  <c r="AM22" i="12"/>
  <c r="AQ22" i="12"/>
  <c r="C48" i="13"/>
  <c r="C50" i="13" s="1"/>
  <c r="C46" i="13"/>
  <c r="U34" i="13"/>
  <c r="AP34" i="13"/>
  <c r="AP35" i="13" s="1"/>
  <c r="L45" i="13"/>
  <c r="AV22" i="12"/>
  <c r="BH22" i="12"/>
  <c r="W13" i="12"/>
  <c r="X13" i="12"/>
  <c r="AQ33" i="13"/>
  <c r="AE33" i="13"/>
  <c r="AA33" i="13"/>
  <c r="W33" i="13"/>
  <c r="W11" i="13"/>
  <c r="BH24" i="12"/>
  <c r="AV24" i="12"/>
  <c r="AR24" i="12"/>
  <c r="AR33" i="12" s="1"/>
  <c r="AN24" i="12"/>
  <c r="AN33" i="12" s="1"/>
  <c r="AJ24" i="12"/>
  <c r="BD24" i="12" s="1"/>
  <c r="AF24" i="12"/>
  <c r="AF33" i="12" s="1"/>
  <c r="AB24" i="12"/>
  <c r="AB33" i="12" s="1"/>
  <c r="AL22" i="12"/>
  <c r="AL33" i="12" s="1"/>
  <c r="AH22" i="12"/>
  <c r="AD22" i="12"/>
  <c r="AD33" i="12" s="1"/>
  <c r="Z22" i="12"/>
  <c r="Z33" i="12" s="1"/>
  <c r="BG34" i="12" l="1"/>
  <c r="M64" i="12"/>
  <c r="L48" i="12"/>
  <c r="L45" i="12"/>
  <c r="L46" i="12"/>
  <c r="AP34" i="12"/>
  <c r="AP35" i="12" s="1"/>
  <c r="AM34" i="10"/>
  <c r="AM35" i="10" s="1"/>
  <c r="D56" i="10" s="1"/>
  <c r="D57" i="10"/>
  <c r="M47" i="12"/>
  <c r="AU34" i="12"/>
  <c r="AU35" i="12" s="1"/>
  <c r="M49" i="12"/>
  <c r="U15" i="13"/>
  <c r="B63" i="13" s="1"/>
  <c r="U9" i="13"/>
  <c r="U14" i="13" s="1"/>
  <c r="N48" i="11"/>
  <c r="AR34" i="11"/>
  <c r="AR35" i="11" s="1"/>
  <c r="N46" i="11"/>
  <c r="AB34" i="11"/>
  <c r="E52" i="11"/>
  <c r="E58" i="11"/>
  <c r="E68" i="11"/>
  <c r="E69" i="11" s="1"/>
  <c r="E70" i="11" s="1"/>
  <c r="E62" i="11"/>
  <c r="AF34" i="11"/>
  <c r="E64" i="11"/>
  <c r="E55" i="11"/>
  <c r="E47" i="12"/>
  <c r="X34" i="12"/>
  <c r="C47" i="12"/>
  <c r="V34" i="12"/>
  <c r="L64" i="12"/>
  <c r="BF34" i="12"/>
  <c r="C52" i="11"/>
  <c r="C68" i="11"/>
  <c r="C69" i="11" s="1"/>
  <c r="C70" i="11" s="1"/>
  <c r="Z34" i="11"/>
  <c r="C58" i="11"/>
  <c r="C62" i="11"/>
  <c r="L47" i="12"/>
  <c r="AT34" i="12"/>
  <c r="AT35" i="12" s="1"/>
  <c r="L49" i="12"/>
  <c r="E64" i="12"/>
  <c r="AF34" i="12"/>
  <c r="E55" i="12"/>
  <c r="BE34" i="11"/>
  <c r="K64" i="11"/>
  <c r="W18" i="12"/>
  <c r="W9" i="12"/>
  <c r="W14" i="12"/>
  <c r="M53" i="12"/>
  <c r="M54" i="12"/>
  <c r="M55" i="12" s="1"/>
  <c r="AY34" i="12"/>
  <c r="AT34" i="11"/>
  <c r="AT35" i="11" s="1"/>
  <c r="L49" i="11"/>
  <c r="L47" i="11"/>
  <c r="E57" i="13"/>
  <c r="AN34" i="13"/>
  <c r="AN35" i="13" s="1"/>
  <c r="E56" i="13" s="1"/>
  <c r="E47" i="11"/>
  <c r="E49" i="11" s="1"/>
  <c r="X34" i="11"/>
  <c r="U34" i="10"/>
  <c r="B47" i="10"/>
  <c r="AA34" i="11"/>
  <c r="D58" i="11"/>
  <c r="D52" i="11"/>
  <c r="D68" i="11"/>
  <c r="D69" i="11" s="1"/>
  <c r="D70" i="11" s="1"/>
  <c r="D62" i="11"/>
  <c r="AO33" i="10"/>
  <c r="AN34" i="10"/>
  <c r="AN35" i="10" s="1"/>
  <c r="E56" i="10" s="1"/>
  <c r="E57" i="10"/>
  <c r="E47" i="10"/>
  <c r="X34" i="10"/>
  <c r="BH34" i="10"/>
  <c r="N64" i="10"/>
  <c r="AD33" i="10"/>
  <c r="R34" i="10"/>
  <c r="C45" i="10"/>
  <c r="AS33" i="12"/>
  <c r="BB22" i="12"/>
  <c r="BB33" i="12" s="1"/>
  <c r="BB34" i="12" s="1"/>
  <c r="BB35" i="12" s="1"/>
  <c r="L60" i="12" s="1"/>
  <c r="AH33" i="12"/>
  <c r="BD33" i="12"/>
  <c r="BD34" i="12" s="1"/>
  <c r="BD35" i="12" s="1"/>
  <c r="N60" i="12" s="1"/>
  <c r="AE34" i="13"/>
  <c r="D55" i="13"/>
  <c r="D64" i="13"/>
  <c r="BH33" i="12"/>
  <c r="AQ33" i="12"/>
  <c r="AA33" i="12"/>
  <c r="BB22" i="11"/>
  <c r="BB33" i="11" s="1"/>
  <c r="BB34" i="11" s="1"/>
  <c r="BB35" i="11" s="1"/>
  <c r="L60" i="11" s="1"/>
  <c r="AH33" i="11"/>
  <c r="L64" i="11"/>
  <c r="BF34" i="11"/>
  <c r="W15" i="10"/>
  <c r="W9" i="10"/>
  <c r="W14" i="10" s="1"/>
  <c r="T34" i="13"/>
  <c r="E45" i="13"/>
  <c r="AV34" i="13"/>
  <c r="AV35" i="13" s="1"/>
  <c r="N49" i="13"/>
  <c r="N47" i="13"/>
  <c r="X34" i="13"/>
  <c r="T16" i="12"/>
  <c r="U11" i="12"/>
  <c r="T9" i="12"/>
  <c r="T14" i="12" s="1"/>
  <c r="B57" i="11"/>
  <c r="AK34" i="11"/>
  <c r="AK35" i="11" s="1"/>
  <c r="B56" i="11" s="1"/>
  <c r="N48" i="13"/>
  <c r="D45" i="11"/>
  <c r="S34" i="11"/>
  <c r="W34" i="11"/>
  <c r="M53" i="11"/>
  <c r="AM33" i="11"/>
  <c r="AN33" i="11"/>
  <c r="L54" i="12"/>
  <c r="L55" i="12" s="1"/>
  <c r="AX34" i="12"/>
  <c r="L53" i="12"/>
  <c r="L54" i="11"/>
  <c r="L55" i="11" s="1"/>
  <c r="L53" i="11"/>
  <c r="AX34" i="11"/>
  <c r="AK33" i="10"/>
  <c r="E45" i="10"/>
  <c r="T34" i="10"/>
  <c r="N53" i="10"/>
  <c r="BD22" i="10"/>
  <c r="BD33" i="10" s="1"/>
  <c r="BD34" i="10" s="1"/>
  <c r="BD35" i="10" s="1"/>
  <c r="N60" i="10" s="1"/>
  <c r="AJ33" i="10"/>
  <c r="AU33" i="10"/>
  <c r="AZ34" i="10"/>
  <c r="AO34" i="11"/>
  <c r="AO35" i="11" s="1"/>
  <c r="AP33" i="10"/>
  <c r="BF33" i="10"/>
  <c r="V17" i="11"/>
  <c r="V9" i="11"/>
  <c r="V14" i="11" s="1"/>
  <c r="B45" i="12"/>
  <c r="Q34" i="12"/>
  <c r="AK33" i="12"/>
  <c r="U33" i="12"/>
  <c r="V18" i="10"/>
  <c r="V9" i="10"/>
  <c r="V14" i="10" s="1"/>
  <c r="AD34" i="12"/>
  <c r="C64" i="12"/>
  <c r="C55" i="12"/>
  <c r="W15" i="13"/>
  <c r="K46" i="13" s="1"/>
  <c r="W9" i="13"/>
  <c r="AQ34" i="11"/>
  <c r="AQ35" i="11" s="1"/>
  <c r="M48" i="11"/>
  <c r="M46" i="11"/>
  <c r="AX34" i="10"/>
  <c r="L54" i="10"/>
  <c r="L55" i="10" s="1"/>
  <c r="L53" i="10"/>
  <c r="M64" i="10"/>
  <c r="BG34" i="10"/>
  <c r="U34" i="11"/>
  <c r="B47" i="11"/>
  <c r="B52" i="10"/>
  <c r="B62" i="10"/>
  <c r="B58" i="10"/>
  <c r="Y34" i="10"/>
  <c r="B68" i="10"/>
  <c r="B69" i="10" s="1"/>
  <c r="B70" i="10" s="1"/>
  <c r="AA33" i="10"/>
  <c r="M59" i="10"/>
  <c r="AI34" i="10"/>
  <c r="AI35" i="10" s="1"/>
  <c r="D53" i="10" s="1"/>
  <c r="D63" i="10"/>
  <c r="AJ34" i="11"/>
  <c r="AJ35" i="11" s="1"/>
  <c r="E53" i="11" s="1"/>
  <c r="N59" i="11"/>
  <c r="E54" i="11"/>
  <c r="E63" i="11"/>
  <c r="AO33" i="12"/>
  <c r="AL34" i="12"/>
  <c r="AL35" i="12" s="1"/>
  <c r="C56" i="12" s="1"/>
  <c r="C57" i="12"/>
  <c r="AN34" i="12"/>
  <c r="AN35" i="12" s="1"/>
  <c r="E56" i="12" s="1"/>
  <c r="E57" i="12"/>
  <c r="W16" i="13"/>
  <c r="L46" i="13" s="1"/>
  <c r="W14" i="13"/>
  <c r="AQ34" i="13"/>
  <c r="AQ35" i="13" s="1"/>
  <c r="M48" i="13"/>
  <c r="M45" i="13"/>
  <c r="M46" i="13"/>
  <c r="AV33" i="12"/>
  <c r="AM33" i="12"/>
  <c r="W33" i="12"/>
  <c r="AL34" i="11"/>
  <c r="AL35" i="11" s="1"/>
  <c r="C56" i="11" s="1"/>
  <c r="C57" i="11"/>
  <c r="AB34" i="13"/>
  <c r="E52" i="13"/>
  <c r="E68" i="13"/>
  <c r="E69" i="13" s="1"/>
  <c r="E70" i="13" s="1"/>
  <c r="E58" i="13"/>
  <c r="E62" i="13"/>
  <c r="AZ34" i="13"/>
  <c r="N53" i="13"/>
  <c r="N54" i="13"/>
  <c r="N55" i="13" s="1"/>
  <c r="AR34" i="13"/>
  <c r="AR35" i="13" s="1"/>
  <c r="BG33" i="11"/>
  <c r="BC22" i="11"/>
  <c r="BC33" i="11" s="1"/>
  <c r="BC34" i="11" s="1"/>
  <c r="BC35" i="11" s="1"/>
  <c r="M60" i="11" s="1"/>
  <c r="AI33" i="11"/>
  <c r="BH33" i="11"/>
  <c r="D45" i="12"/>
  <c r="S34" i="12"/>
  <c r="BE33" i="10"/>
  <c r="BA22" i="10"/>
  <c r="BA33" i="10" s="1"/>
  <c r="BA34" i="10" s="1"/>
  <c r="BA35" i="10" s="1"/>
  <c r="K60" i="10" s="1"/>
  <c r="AG33" i="10"/>
  <c r="AV33" i="10"/>
  <c r="AF33" i="10"/>
  <c r="AE33" i="10"/>
  <c r="AY34" i="10"/>
  <c r="M54" i="10"/>
  <c r="M55" i="10" s="1"/>
  <c r="M53" i="10"/>
  <c r="AY34" i="11"/>
  <c r="AT33" i="10"/>
  <c r="BB22" i="10"/>
  <c r="BB33" i="10" s="1"/>
  <c r="BB34" i="10" s="1"/>
  <c r="BB35" i="10" s="1"/>
  <c r="L60" i="10" s="1"/>
  <c r="AH33" i="10"/>
  <c r="V34" i="10"/>
  <c r="C47" i="10"/>
  <c r="C49" i="10" s="1"/>
  <c r="BA22" i="12"/>
  <c r="BA33" i="12" s="1"/>
  <c r="BA34" i="12" s="1"/>
  <c r="BA35" i="12" s="1"/>
  <c r="K60" i="12" s="1"/>
  <c r="AG33" i="12"/>
  <c r="AC33" i="12"/>
  <c r="AA34" i="13"/>
  <c r="D68" i="13"/>
  <c r="D69" i="13" s="1"/>
  <c r="D70" i="13" s="1"/>
  <c r="D52" i="13"/>
  <c r="D58" i="13"/>
  <c r="D54" i="13"/>
  <c r="D62" i="13"/>
  <c r="D64" i="12"/>
  <c r="AE34" i="12"/>
  <c r="AD34" i="11"/>
  <c r="C55" i="11"/>
  <c r="C64" i="11"/>
  <c r="N64" i="13"/>
  <c r="BH34" i="13"/>
  <c r="C52" i="12"/>
  <c r="C58" i="12"/>
  <c r="C68" i="12"/>
  <c r="C69" i="12" s="1"/>
  <c r="C70" i="12" s="1"/>
  <c r="Z34" i="12"/>
  <c r="C62" i="12"/>
  <c r="E52" i="12"/>
  <c r="AB34" i="12"/>
  <c r="E62" i="12"/>
  <c r="E68" i="12"/>
  <c r="E69" i="12" s="1"/>
  <c r="E70" i="12" s="1"/>
  <c r="E58" i="12"/>
  <c r="N45" i="12"/>
  <c r="N46" i="12"/>
  <c r="N48" i="12"/>
  <c r="AR34" i="12"/>
  <c r="AR35" i="12" s="1"/>
  <c r="W34" i="13"/>
  <c r="D47" i="13"/>
  <c r="X18" i="12"/>
  <c r="AI33" i="12"/>
  <c r="BC22" i="12"/>
  <c r="BC33" i="12" s="1"/>
  <c r="BC34" i="12" s="1"/>
  <c r="BC35" i="12" s="1"/>
  <c r="M60" i="12" s="1"/>
  <c r="E63" i="12"/>
  <c r="N59" i="12"/>
  <c r="AJ34" i="12"/>
  <c r="AJ35" i="12" s="1"/>
  <c r="E53" i="12" s="1"/>
  <c r="E54" i="12"/>
  <c r="L46" i="11"/>
  <c r="L48" i="11"/>
  <c r="L45" i="11"/>
  <c r="AP34" i="11"/>
  <c r="AP35" i="11" s="1"/>
  <c r="X15" i="10"/>
  <c r="X9" i="10"/>
  <c r="X14" i="10" s="1"/>
  <c r="T15" i="13"/>
  <c r="B62" i="13" s="1"/>
  <c r="T9" i="13"/>
  <c r="T14" i="13" s="1"/>
  <c r="V10" i="13"/>
  <c r="AJ34" i="13"/>
  <c r="AJ35" i="13" s="1"/>
  <c r="E53" i="13" s="1"/>
  <c r="N59" i="13"/>
  <c r="E54" i="13"/>
  <c r="E63" i="13"/>
  <c r="T34" i="11"/>
  <c r="E45" i="11"/>
  <c r="N53" i="11"/>
  <c r="AZ34" i="11"/>
  <c r="Y34" i="11"/>
  <c r="AG34" i="11"/>
  <c r="AG35" i="11" s="1"/>
  <c r="B53" i="11" s="1"/>
  <c r="AC34" i="11"/>
  <c r="B58" i="11"/>
  <c r="B45" i="11"/>
  <c r="Q34" i="11"/>
  <c r="K49" i="11"/>
  <c r="AS34" i="11"/>
  <c r="AS35" i="11" s="1"/>
  <c r="E55" i="13"/>
  <c r="N45" i="13"/>
  <c r="AU33" i="11"/>
  <c r="M45" i="11" s="1"/>
  <c r="AE33" i="11"/>
  <c r="AV33" i="11"/>
  <c r="AW34" i="12"/>
  <c r="K54" i="12"/>
  <c r="K55" i="12" s="1"/>
  <c r="K53" i="12"/>
  <c r="AS33" i="10"/>
  <c r="AC33" i="10"/>
  <c r="N45" i="10"/>
  <c r="AR34" i="10"/>
  <c r="AR35" i="10" s="1"/>
  <c r="N48" i="10"/>
  <c r="N46" i="10"/>
  <c r="AB33" i="10"/>
  <c r="AQ33" i="10"/>
  <c r="C46" i="11"/>
  <c r="C48" i="11"/>
  <c r="C50" i="11" s="1"/>
  <c r="D45" i="10"/>
  <c r="S34" i="10"/>
  <c r="AL33" i="10"/>
  <c r="C52" i="10"/>
  <c r="Z34" i="10"/>
  <c r="C58" i="10"/>
  <c r="C68" i="10"/>
  <c r="C69" i="10" s="1"/>
  <c r="C70" i="10" s="1"/>
  <c r="C62" i="10"/>
  <c r="W33" i="10"/>
  <c r="X9" i="12"/>
  <c r="X14" i="12" s="1"/>
  <c r="Y33" i="12"/>
  <c r="BE33" i="12"/>
  <c r="Q34" i="10"/>
  <c r="B45" i="10"/>
  <c r="K53" i="11"/>
  <c r="V9" i="12"/>
  <c r="V14" i="12" s="1"/>
  <c r="AV34" i="10" l="1"/>
  <c r="AV35" i="10" s="1"/>
  <c r="N49" i="10"/>
  <c r="N47" i="10"/>
  <c r="AM34" i="12"/>
  <c r="AM35" i="12" s="1"/>
  <c r="D56" i="12" s="1"/>
  <c r="D57" i="12"/>
  <c r="L46" i="10"/>
  <c r="L45" i="10"/>
  <c r="AP34" i="10"/>
  <c r="AP35" i="10" s="1"/>
  <c r="L48" i="10"/>
  <c r="E54" i="10"/>
  <c r="N59" i="10"/>
  <c r="E63" i="10"/>
  <c r="AJ34" i="10"/>
  <c r="AJ35" i="10" s="1"/>
  <c r="E53" i="10" s="1"/>
  <c r="AN34" i="11"/>
  <c r="AN35" i="11" s="1"/>
  <c r="E56" i="11" s="1"/>
  <c r="E57" i="11"/>
  <c r="E46" i="13"/>
  <c r="E48" i="13"/>
  <c r="E50" i="13" s="1"/>
  <c r="E49" i="10"/>
  <c r="K64" i="12"/>
  <c r="BE34" i="12"/>
  <c r="AC34" i="10"/>
  <c r="B55" i="10"/>
  <c r="B64" i="10"/>
  <c r="E46" i="11"/>
  <c r="E48" i="11"/>
  <c r="E50" i="11" s="1"/>
  <c r="M59" i="12"/>
  <c r="D54" i="12"/>
  <c r="AI34" i="12"/>
  <c r="AI35" i="12" s="1"/>
  <c r="D53" i="12" s="1"/>
  <c r="D63" i="12"/>
  <c r="L47" i="10"/>
  <c r="AT34" i="10"/>
  <c r="AT35" i="10" s="1"/>
  <c r="L49" i="10"/>
  <c r="B54" i="10"/>
  <c r="K59" i="10"/>
  <c r="AG34" i="10"/>
  <c r="AG35" i="10" s="1"/>
  <c r="B53" i="10" s="1"/>
  <c r="B63" i="10"/>
  <c r="D46" i="12"/>
  <c r="M64" i="11"/>
  <c r="BG34" i="11"/>
  <c r="AV34" i="12"/>
  <c r="AV35" i="12" s="1"/>
  <c r="N47" i="12"/>
  <c r="N49" i="12"/>
  <c r="D58" i="10"/>
  <c r="D52" i="10"/>
  <c r="AA34" i="10"/>
  <c r="D62" i="10"/>
  <c r="D68" i="10"/>
  <c r="D69" i="10" s="1"/>
  <c r="D70" i="10" s="1"/>
  <c r="U34" i="12"/>
  <c r="B47" i="12"/>
  <c r="B49" i="12" s="1"/>
  <c r="AK34" i="10"/>
  <c r="AK35" i="10" s="1"/>
  <c r="B56" i="10" s="1"/>
  <c r="B57" i="10"/>
  <c r="AM34" i="11"/>
  <c r="AM35" i="11" s="1"/>
  <c r="D56" i="11" s="1"/>
  <c r="D57" i="11"/>
  <c r="D48" i="11"/>
  <c r="D50" i="11" s="1"/>
  <c r="D46" i="11"/>
  <c r="D49" i="11"/>
  <c r="M45" i="12"/>
  <c r="M46" i="12"/>
  <c r="AQ34" i="12"/>
  <c r="AQ35" i="12" s="1"/>
  <c r="M48" i="12"/>
  <c r="K47" i="12"/>
  <c r="K49" i="12"/>
  <c r="AS34" i="12"/>
  <c r="AS35" i="12" s="1"/>
  <c r="B49" i="10"/>
  <c r="D46" i="10"/>
  <c r="D49" i="13"/>
  <c r="D48" i="13"/>
  <c r="D50" i="13" s="1"/>
  <c r="K46" i="12"/>
  <c r="AO34" i="12"/>
  <c r="AO35" i="12" s="1"/>
  <c r="K45" i="12"/>
  <c r="K48" i="12"/>
  <c r="E46" i="10"/>
  <c r="E48" i="10"/>
  <c r="E50" i="10" s="1"/>
  <c r="C48" i="12"/>
  <c r="C50" i="12" s="1"/>
  <c r="C49" i="12"/>
  <c r="B68" i="12"/>
  <c r="B69" i="12" s="1"/>
  <c r="B70" i="12" s="1"/>
  <c r="B52" i="12"/>
  <c r="Y34" i="12"/>
  <c r="B58" i="12"/>
  <c r="B62" i="12"/>
  <c r="C57" i="10"/>
  <c r="AL34" i="10"/>
  <c r="AL35" i="10" s="1"/>
  <c r="C56" i="10" s="1"/>
  <c r="AS34" i="10"/>
  <c r="AS35" i="10" s="1"/>
  <c r="K49" i="10"/>
  <c r="K47" i="10"/>
  <c r="AV34" i="11"/>
  <c r="AV35" i="11" s="1"/>
  <c r="N49" i="11"/>
  <c r="N47" i="11"/>
  <c r="B48" i="11"/>
  <c r="B50" i="11" s="1"/>
  <c r="B46" i="11"/>
  <c r="B64" i="12"/>
  <c r="AC34" i="12"/>
  <c r="B55" i="12"/>
  <c r="D55" i="10"/>
  <c r="AE34" i="10"/>
  <c r="D64" i="10"/>
  <c r="BH34" i="11"/>
  <c r="N64" i="11"/>
  <c r="B57" i="12"/>
  <c r="AK34" i="12"/>
  <c r="AK35" i="12" s="1"/>
  <c r="B56" i="12" s="1"/>
  <c r="U16" i="12"/>
  <c r="U9" i="12"/>
  <c r="U14" i="12" s="1"/>
  <c r="L59" i="11"/>
  <c r="C54" i="11"/>
  <c r="AH34" i="11"/>
  <c r="AH35" i="11" s="1"/>
  <c r="C53" i="11" s="1"/>
  <c r="C63" i="11"/>
  <c r="N64" i="12"/>
  <c r="BH34" i="12"/>
  <c r="C48" i="10"/>
  <c r="C50" i="10" s="1"/>
  <c r="C46" i="10"/>
  <c r="E48" i="12"/>
  <c r="E50" i="12" s="1"/>
  <c r="E49" i="12"/>
  <c r="W34" i="10"/>
  <c r="D47" i="10"/>
  <c r="D49" i="10" s="1"/>
  <c r="E62" i="10"/>
  <c r="AB34" i="10"/>
  <c r="E68" i="10"/>
  <c r="E69" i="10" s="1"/>
  <c r="E70" i="10" s="1"/>
  <c r="E52" i="10"/>
  <c r="E58" i="10"/>
  <c r="AU34" i="11"/>
  <c r="AU35" i="11" s="1"/>
  <c r="M49" i="11"/>
  <c r="M47" i="11"/>
  <c r="B46" i="12"/>
  <c r="B48" i="12"/>
  <c r="B50" i="12" s="1"/>
  <c r="D68" i="12"/>
  <c r="D69" i="12" s="1"/>
  <c r="D70" i="12" s="1"/>
  <c r="D52" i="12"/>
  <c r="D58" i="12"/>
  <c r="D62" i="12"/>
  <c r="AA34" i="12"/>
  <c r="AD34" i="10"/>
  <c r="C55" i="10"/>
  <c r="C64" i="10"/>
  <c r="B46" i="10"/>
  <c r="B48" i="10"/>
  <c r="B50" i="10" s="1"/>
  <c r="M48" i="10"/>
  <c r="M45" i="10"/>
  <c r="AQ34" i="10"/>
  <c r="AQ35" i="10" s="1"/>
  <c r="M46" i="10"/>
  <c r="AE34" i="11"/>
  <c r="D55" i="11"/>
  <c r="D64" i="11"/>
  <c r="V15" i="13"/>
  <c r="B64" i="13" s="1"/>
  <c r="V9" i="13"/>
  <c r="V14" i="13" s="1"/>
  <c r="D55" i="12"/>
  <c r="K59" i="12"/>
  <c r="AG34" i="12"/>
  <c r="AG35" i="12" s="1"/>
  <c r="B53" i="12" s="1"/>
  <c r="B54" i="12"/>
  <c r="B63" i="12"/>
  <c r="AH34" i="10"/>
  <c r="AH35" i="10" s="1"/>
  <c r="C53" i="10" s="1"/>
  <c r="C54" i="10"/>
  <c r="C63" i="10"/>
  <c r="L59" i="10"/>
  <c r="E55" i="10"/>
  <c r="E64" i="10"/>
  <c r="AF34" i="10"/>
  <c r="BE34" i="10"/>
  <c r="K64" i="10"/>
  <c r="AI34" i="11"/>
  <c r="AI35" i="11" s="1"/>
  <c r="D53" i="11" s="1"/>
  <c r="D54" i="11"/>
  <c r="M59" i="11"/>
  <c r="D63" i="11"/>
  <c r="E49" i="13"/>
  <c r="W34" i="12"/>
  <c r="D47" i="12"/>
  <c r="D49" i="12" s="1"/>
  <c r="D54" i="10"/>
  <c r="B49" i="11"/>
  <c r="BF34" i="10"/>
  <c r="L64" i="10"/>
  <c r="AU34" i="10"/>
  <c r="AU35" i="10" s="1"/>
  <c r="M49" i="10"/>
  <c r="M47" i="10"/>
  <c r="L59" i="12"/>
  <c r="C63" i="12"/>
  <c r="C54" i="12"/>
  <c r="AH34" i="12"/>
  <c r="AH35" i="12" s="1"/>
  <c r="C53" i="12" s="1"/>
  <c r="AO34" i="10"/>
  <c r="AO35" i="10" s="1"/>
  <c r="K46" i="10"/>
  <c r="K48" i="10"/>
  <c r="K45" i="10"/>
  <c r="N45" i="11"/>
  <c r="D48" i="10" l="1"/>
  <c r="D50" i="10" s="1"/>
  <c r="D48" i="12"/>
  <c r="D50" i="12" s="1"/>
</calcChain>
</file>

<file path=xl/comments1.xml><?xml version="1.0" encoding="utf-8"?>
<comments xmlns="http://schemas.openxmlformats.org/spreadsheetml/2006/main">
  <authors>
    <author>Maria  Åkerlind</author>
  </authors>
  <commentList>
    <comment ref="BA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foderkväve (N)= kgTS*Rp%/6,25</t>
        </r>
      </text>
    </comment>
    <comment ref="BE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KRAV kg ts</t>
        </r>
      </text>
    </comment>
    <comment ref="Y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  <comment ref="Z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</commentList>
</comments>
</file>

<file path=xl/comments2.xml><?xml version="1.0" encoding="utf-8"?>
<comments xmlns="http://schemas.openxmlformats.org/spreadsheetml/2006/main">
  <authors>
    <author>Maria  Åkerlind</author>
  </authors>
  <commentList>
    <comment ref="BA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foderkväve (N)= kgTS*Rp%/6,25</t>
        </r>
      </text>
    </comment>
    <comment ref="BE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KRAV kg ts</t>
        </r>
      </text>
    </comment>
    <comment ref="Y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  <comment ref="Z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</commentList>
</comments>
</file>

<file path=xl/comments3.xml><?xml version="1.0" encoding="utf-8"?>
<comments xmlns="http://schemas.openxmlformats.org/spreadsheetml/2006/main">
  <authors>
    <author>Maria  Åkerlind</author>
    <author>Cecilia Lindahl</author>
  </authors>
  <commentList>
    <comment ref="BA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foderkväve (N)= kgTS*Rp%/6,25</t>
        </r>
      </text>
    </comment>
    <comment ref="BE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KRAV kg ts</t>
        </r>
      </text>
    </comment>
    <comment ref="Y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  <comment ref="Z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  <comment ref="F62" authorId="1" shapeId="0">
      <text>
        <r>
          <rPr>
            <b/>
            <sz val="8"/>
            <color indexed="81"/>
            <rFont val="Tahoma"/>
            <family val="2"/>
          </rPr>
          <t>95 % för tunga raser
105 % för lätta raser</t>
        </r>
      </text>
    </comment>
  </commentList>
</comments>
</file>

<file path=xl/comments4.xml><?xml version="1.0" encoding="utf-8"?>
<comments xmlns="http://schemas.openxmlformats.org/spreadsheetml/2006/main">
  <authors>
    <author>Maria  Åkerlind</author>
  </authors>
  <commentList>
    <comment ref="BA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foderkväve (N)= kgTS*Rp%/6,25</t>
        </r>
      </text>
    </comment>
    <comment ref="BE21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Konsumerat KRAV kg ts</t>
        </r>
      </text>
    </comment>
    <comment ref="Y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  <comment ref="Z39" authorId="0" shapeId="0">
      <text>
        <r>
          <rPr>
            <b/>
            <sz val="8"/>
            <color indexed="81"/>
            <rFont val="Tahoma"/>
          </rPr>
          <t>Maria  Åkerlind:</t>
        </r>
        <r>
          <rPr>
            <sz val="8"/>
            <color indexed="81"/>
            <rFont val="Tahoma"/>
          </rPr>
          <t xml:space="preserve">
Fodermedelstabell, 1999</t>
        </r>
      </text>
    </comment>
  </commentList>
</comments>
</file>

<file path=xl/sharedStrings.xml><?xml version="1.0" encoding="utf-8"?>
<sst xmlns="http://schemas.openxmlformats.org/spreadsheetml/2006/main" count="623" uniqueCount="139">
  <si>
    <t>Energi, MJ</t>
  </si>
  <si>
    <t>AAT, g</t>
  </si>
  <si>
    <t>Ts-halt, %</t>
  </si>
  <si>
    <t>Fodermedel</t>
  </si>
  <si>
    <t>Ca, g</t>
  </si>
  <si>
    <t>P, g</t>
  </si>
  <si>
    <t>Foderkostnad</t>
  </si>
  <si>
    <t>ENDAGARSFODERSTATSKONTROLL</t>
  </si>
  <si>
    <t>Förening:</t>
  </si>
  <si>
    <t>Vägningsdatum</t>
  </si>
  <si>
    <t>Bes nr</t>
  </si>
  <si>
    <t>Totalt</t>
  </si>
  <si>
    <t>Vikt</t>
  </si>
  <si>
    <t>Resultat</t>
  </si>
  <si>
    <t>Grf %</t>
  </si>
  <si>
    <t>Koncentrationsgrad MJ/kg ts</t>
  </si>
  <si>
    <t>Utfodring % av norm</t>
  </si>
  <si>
    <t>Energi</t>
  </si>
  <si>
    <t>AAT</t>
  </si>
  <si>
    <t>Mineralbalans</t>
  </si>
  <si>
    <t>AAT g/ MJ</t>
  </si>
  <si>
    <t>Pris, öre</t>
  </si>
  <si>
    <t>Tillväxt</t>
  </si>
  <si>
    <t>Vikt/prod</t>
  </si>
  <si>
    <t>SUMMA BEHOV</t>
  </si>
  <si>
    <t>kg ts grf</t>
  </si>
  <si>
    <t>Lev vikt</t>
  </si>
  <si>
    <t>Underhåll</t>
  </si>
  <si>
    <t>hö</t>
  </si>
  <si>
    <t>Ens 1:a torn</t>
  </si>
  <si>
    <t>Majsens</t>
  </si>
  <si>
    <t>spmblandn</t>
  </si>
  <si>
    <t>HP-massa</t>
  </si>
  <si>
    <t>Råprot, g</t>
  </si>
  <si>
    <t>NDF, g</t>
  </si>
  <si>
    <t>Rp% av ts</t>
  </si>
  <si>
    <t>NDF% av ts</t>
  </si>
  <si>
    <t>Energi MJ</t>
  </si>
  <si>
    <t>MJ/kg ts</t>
  </si>
  <si>
    <t>gAAT/kg ts</t>
  </si>
  <si>
    <t>Kgts foder</t>
  </si>
  <si>
    <t xml:space="preserve">Behov av </t>
  </si>
  <si>
    <t>kalcium</t>
  </si>
  <si>
    <t>fosfor</t>
  </si>
  <si>
    <t>Fyll i gulfärgade rutor</t>
  </si>
  <si>
    <t>Besättning</t>
  </si>
  <si>
    <t>Datum</t>
  </si>
  <si>
    <t>Ca/P-kvot</t>
  </si>
  <si>
    <t>Totalt foder</t>
  </si>
  <si>
    <t>AAT g</t>
  </si>
  <si>
    <t>Ca g</t>
  </si>
  <si>
    <t>P g</t>
  </si>
  <si>
    <t>KRAV</t>
  </si>
  <si>
    <t>Kväveeffektivitet</t>
  </si>
  <si>
    <t>Effekt normal</t>
  </si>
  <si>
    <t>Riktvärde</t>
  </si>
  <si>
    <t>Ca % av ts</t>
  </si>
  <si>
    <t>P % av ts</t>
  </si>
  <si>
    <t>Summa utfodrat kg</t>
  </si>
  <si>
    <t>Skriv ut sida 1 o 2</t>
  </si>
  <si>
    <t>köpfoder</t>
  </si>
  <si>
    <t>%grf</t>
  </si>
  <si>
    <t>Ekologisk produktion</t>
  </si>
  <si>
    <t>KRAV%</t>
  </si>
  <si>
    <t>&gt;95%</t>
  </si>
  <si>
    <t>Kostn kr</t>
  </si>
  <si>
    <t>InköptRp</t>
  </si>
  <si>
    <t>grupp 2</t>
  </si>
  <si>
    <t>grupp 1</t>
  </si>
  <si>
    <t>grupp 3</t>
  </si>
  <si>
    <t>grupp 4</t>
  </si>
  <si>
    <t>Antal djur</t>
  </si>
  <si>
    <t>Beräknad slaktvikt</t>
  </si>
  <si>
    <t>Dagar kvar till slakt</t>
  </si>
  <si>
    <t>Beräknad slaktdag</t>
  </si>
  <si>
    <t>Djurens näringsbehov</t>
  </si>
  <si>
    <t>gr 1</t>
  </si>
  <si>
    <t>gr 2</t>
  </si>
  <si>
    <t>gr 3</t>
  </si>
  <si>
    <t>gr 4</t>
  </si>
  <si>
    <t>gr3</t>
  </si>
  <si>
    <t>Råprotein</t>
  </si>
  <si>
    <t>vikt</t>
  </si>
  <si>
    <t>Rp</t>
  </si>
  <si>
    <t>Aat</t>
  </si>
  <si>
    <t>Ca</t>
  </si>
  <si>
    <t>P</t>
  </si>
  <si>
    <t>kr/kg TS</t>
  </si>
  <si>
    <t>kr/djur&amp;dag</t>
  </si>
  <si>
    <t>kr/kg tillväxt</t>
  </si>
  <si>
    <t>soja</t>
  </si>
  <si>
    <t>Beräknad tillväxt/dag</t>
  </si>
  <si>
    <t xml:space="preserve">Utförd av </t>
  </si>
  <si>
    <t>xxx</t>
  </si>
  <si>
    <t xml:space="preserve"> ---------------------------------per kg ts---------------------------------             </t>
  </si>
  <si>
    <t>Energi, MJ/kg tillväxt</t>
  </si>
  <si>
    <t>Rp g/MJ</t>
  </si>
  <si>
    <t>KöttN/foderN</t>
  </si>
  <si>
    <t>ts-halt i foderstaten</t>
  </si>
  <si>
    <t>NDF %/lev. vikt</t>
  </si>
  <si>
    <t>Energi för tillväxt</t>
  </si>
  <si>
    <t>t</t>
  </si>
  <si>
    <t>v</t>
  </si>
  <si>
    <t>e</t>
  </si>
  <si>
    <t>Tillväxt enligt dagens utfodring</t>
  </si>
  <si>
    <t>Inköpt N/totala N</t>
  </si>
  <si>
    <t>Foderkons. kg ts/djur &amp; dag</t>
  </si>
  <si>
    <t>Foderkons. %/lev. vikt</t>
  </si>
  <si>
    <t>Grovfoder kg ts/djur &amp; dag</t>
  </si>
  <si>
    <t>Kraftfoder kg ts/djur &amp; dag</t>
  </si>
  <si>
    <t>Kraftfoder kg ts/kg tillväxt</t>
  </si>
  <si>
    <t>Grovfoderandel, %</t>
  </si>
  <si>
    <t>&lt;15 %</t>
  </si>
  <si>
    <t>&gt;30 %</t>
  </si>
  <si>
    <t>10-13,1</t>
  </si>
  <si>
    <t>6,5-7,5</t>
  </si>
  <si>
    <t>&lt;</t>
  </si>
  <si>
    <t>16-24 %</t>
  </si>
  <si>
    <t>Nytt beräknat slaktdatum</t>
  </si>
  <si>
    <t>Tillväxt med dagens foder, kg</t>
  </si>
  <si>
    <t>Utfodrade mängder/grupp, kg</t>
  </si>
  <si>
    <t>P-balans +/-</t>
  </si>
  <si>
    <t>Ca-balans +/-</t>
  </si>
  <si>
    <t>räknad på blandfoderstat</t>
  </si>
  <si>
    <t>räknad på kraftfoderstat</t>
  </si>
  <si>
    <t>1,8-3,0%</t>
  </si>
  <si>
    <t>Utfodrade mängder/grupp &amp; dag, kg</t>
  </si>
  <si>
    <t>&gt;35 %</t>
  </si>
  <si>
    <t>Galax</t>
  </si>
  <si>
    <t>Ensilage 1:a skörd</t>
  </si>
  <si>
    <t>UNG1</t>
  </si>
  <si>
    <t>UNG 1</t>
  </si>
  <si>
    <t>Ens 103</t>
  </si>
  <si>
    <t>bas1</t>
  </si>
  <si>
    <t xml:space="preserve">framtaget av Cecilia Lindahl </t>
  </si>
  <si>
    <t>Taurus</t>
  </si>
  <si>
    <t>skapad av Cecilia Lindahl</t>
  </si>
  <si>
    <t>Blandsäd</t>
  </si>
  <si>
    <t>Skapad av: Cecilia Lindahl, Taurus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</si>
</sst>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r&quot;_-;\-* #,##0.00\ &quot;kr&quot;_-;_-* &quot;-&quot;??\ &quot;kr&quot;_-;_-@_-"/>
    <numFmt numFmtId="165" formatCode="_-* #,##0.00\ _k_r_-;\-* #,##0.00\ _k_r_-;_-* &quot;-&quot;??\ _k_r_-;_-@_-"/>
    <numFmt numFmtId="167" formatCode="0.0"/>
    <numFmt numFmtId="168" formatCode="0.0000"/>
    <numFmt numFmtId="169" formatCode="0.0%"/>
    <numFmt numFmtId="173" formatCode="_-* #,##0\ &quot;kr&quot;_-;\-* #,##0\ &quot;kr&quot;_-;_-* &quot;-&quot;??\ &quot;kr&quot;_-;_-@_-"/>
    <numFmt numFmtId="176" formatCode="yy/mm/dd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color indexed="6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u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6" fillId="0" borderId="0" xfId="0" applyFont="1" applyFill="1"/>
    <xf numFmtId="1" fontId="5" fillId="0" borderId="0" xfId="0" applyNumberFormat="1" applyFont="1" applyFill="1"/>
    <xf numFmtId="9" fontId="3" fillId="2" borderId="1" xfId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15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textRotation="105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9" fontId="3" fillId="0" borderId="0" xfId="1" applyNumberFormat="1" applyFont="1" applyFill="1"/>
    <xf numFmtId="9" fontId="3" fillId="0" borderId="0" xfId="1" applyFont="1" applyFill="1"/>
    <xf numFmtId="9" fontId="2" fillId="0" borderId="0" xfId="1" applyFont="1" applyFill="1"/>
    <xf numFmtId="9" fontId="3" fillId="0" borderId="0" xfId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9" fontId="7" fillId="0" borderId="0" xfId="1" applyFont="1" applyFill="1"/>
    <xf numFmtId="0" fontId="7" fillId="0" borderId="0" xfId="0" applyFont="1" applyFill="1"/>
    <xf numFmtId="9" fontId="7" fillId="0" borderId="0" xfId="0" applyNumberFormat="1" applyFont="1" applyFill="1"/>
    <xf numFmtId="1" fontId="3" fillId="0" borderId="0" xfId="0" applyNumberFormat="1" applyFont="1" applyFill="1" applyAlignment="1">
      <alignment horizontal="left" indent="1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7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9" fontId="5" fillId="0" borderId="0" xfId="1" applyNumberFormat="1" applyFont="1" applyFill="1"/>
    <xf numFmtId="9" fontId="5" fillId="0" borderId="0" xfId="1" applyFont="1" applyFill="1"/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9" fontId="3" fillId="3" borderId="0" xfId="1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44" fontId="3" fillId="3" borderId="0" xfId="3" applyFont="1" applyFill="1" applyAlignment="1">
      <alignment horizontal="center"/>
    </xf>
    <xf numFmtId="169" fontId="3" fillId="3" borderId="0" xfId="1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2" fontId="5" fillId="0" borderId="0" xfId="0" applyNumberFormat="1" applyFont="1" applyFill="1"/>
    <xf numFmtId="169" fontId="3" fillId="0" borderId="0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9" fontId="5" fillId="0" borderId="0" xfId="1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3" fillId="0" borderId="0" xfId="0" applyFont="1" applyFill="1" applyBorder="1"/>
    <xf numFmtId="0" fontId="23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9" fontId="3" fillId="2" borderId="4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73" fontId="25" fillId="3" borderId="1" xfId="3" applyNumberFormat="1" applyFont="1" applyFill="1" applyBorder="1" applyAlignment="1">
      <alignment horizontal="center"/>
    </xf>
    <xf numFmtId="167" fontId="25" fillId="3" borderId="4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6" xfId="0" applyFont="1" applyFill="1" applyBorder="1"/>
    <xf numFmtId="1" fontId="3" fillId="4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13" fillId="2" borderId="0" xfId="0" applyFont="1" applyFill="1"/>
    <xf numFmtId="0" fontId="19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167" fontId="5" fillId="2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5" fillId="2" borderId="1" xfId="0" applyFont="1" applyFill="1" applyBorder="1" applyAlignment="1"/>
    <xf numFmtId="0" fontId="19" fillId="2" borderId="1" xfId="0" applyFont="1" applyFill="1" applyBorder="1" applyAlignment="1"/>
    <xf numFmtId="1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" fontId="26" fillId="0" borderId="0" xfId="0" applyNumberFormat="1" applyFont="1" applyFill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9" fontId="5" fillId="0" borderId="0" xfId="1" applyFont="1" applyFill="1" applyBorder="1"/>
    <xf numFmtId="169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169" fontId="26" fillId="0" borderId="0" xfId="1" applyNumberFormat="1" applyFont="1" applyFill="1" applyBorder="1"/>
    <xf numFmtId="0" fontId="26" fillId="0" borderId="0" xfId="0" applyFont="1" applyFill="1" applyBorder="1"/>
    <xf numFmtId="9" fontId="19" fillId="0" borderId="0" xfId="1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left"/>
    </xf>
    <xf numFmtId="176" fontId="18" fillId="0" borderId="0" xfId="0" applyNumberFormat="1" applyFont="1" applyFill="1"/>
    <xf numFmtId="0" fontId="5" fillId="0" borderId="0" xfId="0" applyFont="1" applyFill="1" applyBorder="1" applyAlignment="1"/>
    <xf numFmtId="0" fontId="19" fillId="0" borderId="0" xfId="0" applyFont="1" applyFill="1" applyBorder="1" applyAlignment="1"/>
    <xf numFmtId="167" fontId="19" fillId="2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left"/>
    </xf>
    <xf numFmtId="9" fontId="3" fillId="3" borderId="8" xfId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167" fontId="3" fillId="3" borderId="8" xfId="0" applyNumberFormat="1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/>
    </xf>
    <xf numFmtId="9" fontId="5" fillId="0" borderId="0" xfId="1" applyNumberFormat="1" applyFont="1" applyFill="1"/>
    <xf numFmtId="10" fontId="5" fillId="0" borderId="0" xfId="1" applyNumberFormat="1" applyFont="1" applyFill="1"/>
    <xf numFmtId="2" fontId="3" fillId="0" borderId="0" xfId="0" applyNumberFormat="1" applyFont="1" applyFill="1"/>
    <xf numFmtId="167" fontId="5" fillId="0" borderId="0" xfId="2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169" fontId="28" fillId="0" borderId="0" xfId="1" applyNumberFormat="1" applyFont="1" applyFill="1" applyAlignment="1">
      <alignment horizontal="left"/>
    </xf>
    <xf numFmtId="169" fontId="28" fillId="0" borderId="0" xfId="1" applyNumberFormat="1" applyFont="1" applyFill="1" applyBorder="1" applyAlignment="1">
      <alignment horizontal="left"/>
    </xf>
    <xf numFmtId="9" fontId="28" fillId="0" borderId="0" xfId="1" applyFont="1" applyFill="1" applyBorder="1"/>
    <xf numFmtId="167" fontId="28" fillId="0" borderId="0" xfId="1" applyNumberFormat="1" applyFont="1" applyFill="1" applyBorder="1"/>
    <xf numFmtId="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/>
    <xf numFmtId="0" fontId="2" fillId="4" borderId="0" xfId="0" applyFont="1" applyFill="1" applyAlignment="1"/>
    <xf numFmtId="1" fontId="3" fillId="4" borderId="1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167" fontId="3" fillId="4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2" borderId="0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167" fontId="2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0" fontId="28" fillId="2" borderId="0" xfId="0" applyFont="1" applyFill="1"/>
    <xf numFmtId="0" fontId="30" fillId="0" borderId="0" xfId="0" applyFont="1" applyFill="1"/>
    <xf numFmtId="0" fontId="4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textRotation="105"/>
    </xf>
    <xf numFmtId="0" fontId="20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76" fontId="19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9" fillId="0" borderId="9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</cellXfs>
  <cellStyles count="4">
    <cellStyle name="Normal" xfId="0" builtinId="0"/>
    <cellStyle name="Procent" xfId="1" builtinId="5"/>
    <cellStyle name="Tusental" xfId="2" builtinId="3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N85"/>
  <sheetViews>
    <sheetView tabSelected="1" zoomScale="80" zoomScaleNormal="80" workbookViewId="0">
      <selection activeCell="F5" sqref="F5:H5"/>
    </sheetView>
  </sheetViews>
  <sheetFormatPr defaultColWidth="9.109375" defaultRowHeight="15" x14ac:dyDescent="0.25"/>
  <cols>
    <col min="1" max="1" width="30.88671875" style="1" customWidth="1"/>
    <col min="2" max="4" width="9.44140625" style="2" customWidth="1"/>
    <col min="5" max="5" width="12.6640625" style="2" customWidth="1"/>
    <col min="6" max="6" width="8.6640625" style="1" customWidth="1"/>
    <col min="7" max="7" width="5.88671875" style="1" customWidth="1"/>
    <col min="8" max="8" width="8.5546875" style="1" customWidth="1"/>
    <col min="9" max="9" width="6.109375" style="1" customWidth="1"/>
    <col min="10" max="10" width="7.88671875" style="1" customWidth="1"/>
    <col min="11" max="12" width="9.33203125" style="1" customWidth="1"/>
    <col min="13" max="13" width="9.44140625" style="1" customWidth="1"/>
    <col min="14" max="14" width="9.3320312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3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6640625" style="1" customWidth="1"/>
    <col min="28" max="29" width="6.5546875" style="1" customWidth="1"/>
    <col min="30" max="38" width="9.109375" style="1" customWidth="1"/>
    <col min="39" max="40" width="9.6640625" style="1" bestFit="1" customWidth="1"/>
    <col min="41" max="48" width="9.33203125" style="1" bestFit="1" customWidth="1"/>
    <col min="49" max="49" width="9.88671875" style="1" bestFit="1" customWidth="1"/>
    <col min="50" max="54" width="9.33203125" style="1" bestFit="1" customWidth="1"/>
    <col min="55" max="16384" width="9.109375" style="1"/>
  </cols>
  <sheetData>
    <row r="2" spans="1:31" ht="28.2" x14ac:dyDescent="0.4">
      <c r="A2" s="10" t="s">
        <v>7</v>
      </c>
      <c r="L2" s="99" t="s">
        <v>44</v>
      </c>
      <c r="M2" s="79"/>
      <c r="N2" s="79"/>
      <c r="Q2" s="93" t="s">
        <v>75</v>
      </c>
      <c r="R2" s="52"/>
      <c r="S2" s="22"/>
      <c r="T2" s="168" t="s">
        <v>124</v>
      </c>
      <c r="U2" s="2"/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59</v>
      </c>
      <c r="N3" s="2"/>
      <c r="Q3" s="2"/>
      <c r="R3" s="22" t="s">
        <v>71</v>
      </c>
      <c r="S3" s="22" t="s">
        <v>23</v>
      </c>
      <c r="T3" s="22" t="s">
        <v>37</v>
      </c>
      <c r="U3" s="2" t="s">
        <v>81</v>
      </c>
      <c r="V3" s="22" t="s">
        <v>49</v>
      </c>
      <c r="W3" s="22" t="s">
        <v>50</v>
      </c>
      <c r="X3" s="22" t="s">
        <v>51</v>
      </c>
      <c r="AC3" s="4"/>
      <c r="AD3" s="4"/>
      <c r="AE3" s="4"/>
    </row>
    <row r="4" spans="1:31" ht="15.6" x14ac:dyDescent="0.3">
      <c r="A4" s="1" t="s">
        <v>8</v>
      </c>
      <c r="B4" s="169">
        <v>8</v>
      </c>
      <c r="C4" s="1"/>
      <c r="D4" s="1" t="s">
        <v>9</v>
      </c>
      <c r="E4" s="1"/>
      <c r="F4" s="182">
        <v>38625</v>
      </c>
      <c r="G4" s="183"/>
      <c r="H4" s="12"/>
      <c r="I4" s="16"/>
      <c r="L4" s="35" t="s">
        <v>134</v>
      </c>
      <c r="N4" s="16"/>
      <c r="O4" s="2"/>
      <c r="P4" s="2"/>
      <c r="Q4" s="163" t="s">
        <v>27</v>
      </c>
      <c r="R4" s="95"/>
      <c r="S4" s="164"/>
      <c r="T4" s="97">
        <f>R5*T5+R6*T6+R7*T7+R8*T8</f>
        <v>576.54857350186046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/>
      <c r="C5" s="14"/>
      <c r="D5" s="1" t="s">
        <v>92</v>
      </c>
      <c r="E5" s="1"/>
      <c r="F5" s="185"/>
      <c r="G5" s="185"/>
      <c r="H5" s="183"/>
      <c r="I5" s="16"/>
      <c r="L5" s="37" t="s">
        <v>135</v>
      </c>
      <c r="N5" s="17"/>
      <c r="O5" s="2"/>
      <c r="P5" s="2"/>
      <c r="Q5" s="95" t="s">
        <v>76</v>
      </c>
      <c r="R5" s="164">
        <f>$B$10</f>
        <v>5</v>
      </c>
      <c r="S5" s="165">
        <f>$B$11</f>
        <v>350</v>
      </c>
      <c r="T5" s="59">
        <f>($S5^0.75)*0.475</f>
        <v>38.436571566790697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77</v>
      </c>
      <c r="R6" s="164">
        <f>$C$10</f>
        <v>5</v>
      </c>
      <c r="S6" s="164">
        <f>$C$11</f>
        <v>350</v>
      </c>
      <c r="T6" s="59">
        <f>($S6^0.75)*0.475</f>
        <v>38.436571566790697</v>
      </c>
      <c r="U6" s="59"/>
      <c r="V6" s="61"/>
      <c r="W6" s="60"/>
      <c r="X6" s="61"/>
      <c r="Y6" s="2"/>
      <c r="Z6" s="2" t="s">
        <v>101</v>
      </c>
      <c r="AA6" s="2" t="s">
        <v>102</v>
      </c>
      <c r="AB6" s="2" t="s">
        <v>103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78</v>
      </c>
      <c r="R7" s="61">
        <f>$D$10</f>
        <v>5</v>
      </c>
      <c r="S7" s="165">
        <f>$D$11</f>
        <v>350</v>
      </c>
      <c r="T7" s="59">
        <f>($S7^0.75)*0.475</f>
        <v>38.436571566790697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186"/>
      <c r="D8" s="187"/>
      <c r="E8" s="186"/>
      <c r="F8" s="188"/>
      <c r="G8" s="12"/>
      <c r="I8" s="16"/>
      <c r="J8" s="54"/>
      <c r="K8" s="12"/>
      <c r="L8" s="38"/>
      <c r="M8" s="19"/>
      <c r="N8" s="12"/>
      <c r="O8" s="12"/>
      <c r="Q8" s="166" t="s">
        <v>79</v>
      </c>
      <c r="R8" s="164">
        <f>$E$10</f>
        <v>0</v>
      </c>
      <c r="S8" s="167">
        <f>$E$11</f>
        <v>380</v>
      </c>
      <c r="T8" s="59">
        <f>($S8^0.75)*0.475</f>
        <v>40.881922169537432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68</v>
      </c>
      <c r="C9" s="100" t="s">
        <v>67</v>
      </c>
      <c r="D9" s="100" t="s">
        <v>69</v>
      </c>
      <c r="E9" s="100" t="s">
        <v>70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1007.8369905956113</v>
      </c>
      <c r="U9" s="97">
        <f>$R$10*U10+$R$11*U11+$R$12*U12+$R$13*U13</f>
        <v>17586.679761481937</v>
      </c>
      <c r="V9" s="97">
        <f>$R$10*V10+$R$11*V11+$R$12*V12+$R$13*V13</f>
        <v>10298.506166633568</v>
      </c>
      <c r="W9" s="97">
        <f>$R$10*W10+$R$11*W11+$R$12*W12+$R$13*W13</f>
        <v>495</v>
      </c>
      <c r="X9" s="97">
        <f>$R$10*X10+$R$11*X11+$R$12*X12+$R$13*X13</f>
        <v>300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71</v>
      </c>
      <c r="B10" s="78">
        <v>5</v>
      </c>
      <c r="C10" s="78">
        <v>5</v>
      </c>
      <c r="D10" s="78">
        <v>5</v>
      </c>
      <c r="E10" s="78">
        <v>0</v>
      </c>
      <c r="F10" s="102">
        <f>SUM(B10:E10)</f>
        <v>15</v>
      </c>
      <c r="H10" s="85"/>
      <c r="O10" s="12"/>
      <c r="Q10" s="95" t="s">
        <v>76</v>
      </c>
      <c r="R10" s="164">
        <f>$B$10</f>
        <v>5</v>
      </c>
      <c r="S10" s="165">
        <f>$B$11</f>
        <v>350</v>
      </c>
      <c r="T10" s="60">
        <f>(B12*(6.28+0.0188*S10))/((1-0.3*B12)*0.522)</f>
        <v>67.189132706374082</v>
      </c>
      <c r="U10" s="59">
        <f>LOOKUP($S10,$T$39:$T$62,$U$39:$U$62)*(T10+T5)</f>
        <v>1172.4453174321291</v>
      </c>
      <c r="V10" s="59">
        <f>LOOKUP($S10,$T$39:$T$62,$V$39:$V$62)*(T10+T5)</f>
        <v>686.56707777557108</v>
      </c>
      <c r="W10" s="59">
        <f>LOOKUP($S10,$X$40:$X$45,Y40:Y45)</f>
        <v>33</v>
      </c>
      <c r="X10" s="59">
        <f>LOOKUP($S10,$X$40:$X$45,Z40:Z45)</f>
        <v>20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350</v>
      </c>
      <c r="C11" s="78">
        <v>350</v>
      </c>
      <c r="D11" s="78">
        <v>350</v>
      </c>
      <c r="E11" s="78">
        <v>380</v>
      </c>
      <c r="F11" s="103">
        <f>(B10*B11+C11*C10+D11*D10+E10*E11)/(B10+C10+D10+E10)</f>
        <v>350</v>
      </c>
      <c r="H11" s="12"/>
      <c r="O11" s="12"/>
      <c r="Q11" s="166" t="s">
        <v>77</v>
      </c>
      <c r="R11" s="164">
        <f>$C$10</f>
        <v>5</v>
      </c>
      <c r="S11" s="164">
        <f>$C$11</f>
        <v>350</v>
      </c>
      <c r="T11" s="60">
        <f>(C12*(6.28+0.0188*S11))/((1-0.3*C12)*0.522)</f>
        <v>67.189132706374082</v>
      </c>
      <c r="U11" s="59">
        <f>LOOKUP($S11,$T$39:$T$62,$U$39:$U$62)*(T11+T6)</f>
        <v>1172.4453174321291</v>
      </c>
      <c r="V11" s="59">
        <f>LOOKUP($S11,$T$39:$T$62,$V$39:$V$62)*(T11+T6)</f>
        <v>686.56707777557108</v>
      </c>
      <c r="W11" s="59">
        <f>LOOKUP($S11,$X$40:$X$45,Y40:Y45)</f>
        <v>33</v>
      </c>
      <c r="X11" s="59">
        <f>LOOKUP($S11,$X$40:$X$45,Z40:Z45)</f>
        <v>20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91</v>
      </c>
      <c r="B12" s="78">
        <v>1.5</v>
      </c>
      <c r="C12" s="105">
        <v>1.5</v>
      </c>
      <c r="D12" s="105">
        <v>1.5</v>
      </c>
      <c r="E12" s="78">
        <v>1.2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80</v>
      </c>
      <c r="R12" s="61">
        <f>$D$10</f>
        <v>5</v>
      </c>
      <c r="S12" s="165">
        <f>$D$11</f>
        <v>350</v>
      </c>
      <c r="T12" s="60">
        <f>(D12*(6.28+0.0188*S12))/((1-0.3*D12)*0.522)</f>
        <v>67.189132706374082</v>
      </c>
      <c r="U12" s="59">
        <f>LOOKUP($S12,$T$39:$T$62,$U$39:$U$62)*(T12+T7)</f>
        <v>1172.4453174321291</v>
      </c>
      <c r="V12" s="59">
        <f>LOOKUP($S12,$T$39:$T$62,$V$39:$V$62)*(T12+T7)</f>
        <v>686.56707777557108</v>
      </c>
      <c r="W12" s="59">
        <f>LOOKUP($S12,$X$40:$X$45,Y40:Y45)</f>
        <v>33</v>
      </c>
      <c r="X12" s="59">
        <f>LOOKUP($S12,$X$40:$X$45,Z40:Z45)</f>
        <v>20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72</v>
      </c>
      <c r="B13" s="78">
        <v>650</v>
      </c>
      <c r="C13" s="105">
        <v>650</v>
      </c>
      <c r="D13" s="105">
        <v>650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79</v>
      </c>
      <c r="R13" s="164">
        <f>$E$10</f>
        <v>0</v>
      </c>
      <c r="S13" s="167">
        <f>$E$11</f>
        <v>380</v>
      </c>
      <c r="T13" s="60">
        <f>(E12*(6.28+0.0188*S13))/((1-0.3*E12)*0.522)</f>
        <v>48.218390804597689</v>
      </c>
      <c r="U13" s="59">
        <f>LOOKUP($S13,$T$39:$T$62,$U$39:$U$62)*(T13+T8)</f>
        <v>962.28338012065933</v>
      </c>
      <c r="V13" s="59">
        <f>LOOKUP($S13,$T$39:$T$62,$V$39:$V$62)*(T13+T8)</f>
        <v>579.15203433187833</v>
      </c>
      <c r="W13" s="59">
        <f>LOOKUP($S13,$X$40:$X$45,Y40:Y45)</f>
        <v>33</v>
      </c>
      <c r="X13" s="59">
        <f>LOOKUP($S13,$X$40:$X$45,Z40:Z45)</f>
        <v>20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73</v>
      </c>
      <c r="B14" s="53">
        <f>(B13-B11)/B12</f>
        <v>200</v>
      </c>
      <c r="C14" s="53">
        <f>(C13-C11)/C12</f>
        <v>200</v>
      </c>
      <c r="D14" s="53">
        <f>(D13-D11)/D12</f>
        <v>200</v>
      </c>
      <c r="E14" s="53">
        <f>(E13-E11)/E12</f>
        <v>183.33333333333334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5" si="0">T4+T9</f>
        <v>1584.3855640974716</v>
      </c>
      <c r="U14" s="63">
        <f t="shared" si="0"/>
        <v>17586.679761481937</v>
      </c>
      <c r="V14" s="63">
        <f t="shared" si="0"/>
        <v>10298.506166633568</v>
      </c>
      <c r="W14" s="63">
        <f>W13+W11+W9+W6+W7</f>
        <v>561</v>
      </c>
      <c r="X14" s="64">
        <f>X13+X9</f>
        <v>320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74</v>
      </c>
      <c r="B15" s="161">
        <f>$F$4+B14</f>
        <v>38825</v>
      </c>
      <c r="C15" s="161">
        <f>$F$4+C14</f>
        <v>38825</v>
      </c>
      <c r="D15" s="161">
        <f>$F$4+D14</f>
        <v>38825</v>
      </c>
      <c r="E15" s="161">
        <f>$F$4+E14</f>
        <v>38808.333333333336</v>
      </c>
      <c r="H15" s="56"/>
      <c r="I15" s="15"/>
      <c r="J15" s="15"/>
      <c r="K15" s="15"/>
      <c r="L15" s="15"/>
      <c r="M15" s="15"/>
      <c r="N15" s="15"/>
      <c r="O15" s="20"/>
      <c r="Q15" s="95" t="s">
        <v>76</v>
      </c>
      <c r="R15" s="164">
        <f>$B$10</f>
        <v>5</v>
      </c>
      <c r="S15" s="165">
        <f>$B$11</f>
        <v>350</v>
      </c>
      <c r="T15" s="59">
        <f t="shared" si="0"/>
        <v>105.62570427316479</v>
      </c>
      <c r="U15" s="59">
        <f t="shared" si="0"/>
        <v>1172.4453174321291</v>
      </c>
      <c r="V15" s="59">
        <f t="shared" si="0"/>
        <v>686.56707777557108</v>
      </c>
      <c r="W15" s="59">
        <f>W5+W10</f>
        <v>33</v>
      </c>
      <c r="X15" s="59">
        <f>X5+X10</f>
        <v>20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77</v>
      </c>
      <c r="R16" s="164">
        <f>$C$10</f>
        <v>5</v>
      </c>
      <c r="S16" s="164">
        <f>$C$11</f>
        <v>350</v>
      </c>
      <c r="T16" s="59">
        <f t="shared" ref="T16:W18" si="1">T6+T11</f>
        <v>105.62570427316479</v>
      </c>
      <c r="U16" s="59">
        <f t="shared" si="1"/>
        <v>1172.4453174321291</v>
      </c>
      <c r="V16" s="59">
        <f t="shared" si="1"/>
        <v>686.56707777557108</v>
      </c>
      <c r="W16" s="59">
        <f t="shared" si="1"/>
        <v>33</v>
      </c>
      <c r="X16" s="59">
        <f>X6+X11</f>
        <v>20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80</v>
      </c>
      <c r="R17" s="61">
        <f>$D$10</f>
        <v>5</v>
      </c>
      <c r="S17" s="165">
        <f>$D$11</f>
        <v>350</v>
      </c>
      <c r="T17" s="59">
        <f t="shared" si="1"/>
        <v>105.62570427316479</v>
      </c>
      <c r="U17" s="59">
        <f t="shared" si="1"/>
        <v>1172.4453174321291</v>
      </c>
      <c r="V17" s="59">
        <f t="shared" si="1"/>
        <v>686.56707777557108</v>
      </c>
      <c r="W17" s="59">
        <f t="shared" si="1"/>
        <v>33</v>
      </c>
      <c r="X17" s="59">
        <f>X7+X12</f>
        <v>20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79</v>
      </c>
      <c r="R18" s="164">
        <f>$E$10</f>
        <v>0</v>
      </c>
      <c r="S18" s="167">
        <f>$E$11</f>
        <v>380</v>
      </c>
      <c r="T18" s="59">
        <f t="shared" si="1"/>
        <v>89.100312974135122</v>
      </c>
      <c r="U18" s="59">
        <f t="shared" si="1"/>
        <v>962.28338012065933</v>
      </c>
      <c r="V18" s="59">
        <f t="shared" si="1"/>
        <v>579.15203433187833</v>
      </c>
      <c r="W18" s="59">
        <f t="shared" si="1"/>
        <v>33</v>
      </c>
      <c r="X18" s="59">
        <f>X8+X13</f>
        <v>20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x14ac:dyDescent="0.25">
      <c r="B20" s="189" t="s">
        <v>126</v>
      </c>
      <c r="C20" s="189"/>
      <c r="D20" s="189"/>
      <c r="E20" s="189"/>
      <c r="F20" s="2"/>
      <c r="G20" s="190" t="s">
        <v>94</v>
      </c>
      <c r="H20" s="190"/>
      <c r="I20" s="190"/>
      <c r="J20" s="190"/>
      <c r="K20" s="190"/>
      <c r="L20" s="190"/>
      <c r="M20" s="190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48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33</v>
      </c>
      <c r="K21" s="69" t="s">
        <v>34</v>
      </c>
      <c r="L21" s="69" t="s">
        <v>4</v>
      </c>
      <c r="M21" s="69" t="s">
        <v>5</v>
      </c>
      <c r="N21" s="69" t="s">
        <v>21</v>
      </c>
      <c r="O21" s="76" t="s">
        <v>60</v>
      </c>
      <c r="P21" s="76" t="s">
        <v>52</v>
      </c>
      <c r="Q21" s="184" t="s">
        <v>40</v>
      </c>
      <c r="R21" s="184"/>
      <c r="S21" s="184"/>
      <c r="T21" s="184"/>
      <c r="U21" s="179" t="s">
        <v>25</v>
      </c>
      <c r="V21" s="180"/>
      <c r="W21" s="180"/>
      <c r="X21" s="181"/>
      <c r="Y21" s="179" t="s">
        <v>37</v>
      </c>
      <c r="Z21" s="180"/>
      <c r="AA21" s="180"/>
      <c r="AB21" s="181"/>
      <c r="AC21" s="179" t="s">
        <v>1</v>
      </c>
      <c r="AD21" s="180"/>
      <c r="AE21" s="180"/>
      <c r="AF21" s="181"/>
      <c r="AG21" s="179" t="s">
        <v>33</v>
      </c>
      <c r="AH21" s="180"/>
      <c r="AI21" s="180"/>
      <c r="AJ21" s="180"/>
      <c r="AK21" s="179" t="s">
        <v>34</v>
      </c>
      <c r="AL21" s="180"/>
      <c r="AM21" s="180"/>
      <c r="AN21" s="180"/>
      <c r="AO21" s="179" t="s">
        <v>4</v>
      </c>
      <c r="AP21" s="180"/>
      <c r="AQ21" s="180"/>
      <c r="AR21" s="180"/>
      <c r="AS21" s="179" t="s">
        <v>5</v>
      </c>
      <c r="AT21" s="180"/>
      <c r="AU21" s="180"/>
      <c r="AV21" s="180"/>
      <c r="AW21" s="75" t="s">
        <v>65</v>
      </c>
      <c r="AX21" s="75"/>
      <c r="AY21" s="75"/>
      <c r="AZ21" s="75"/>
      <c r="BA21" s="77" t="s">
        <v>66</v>
      </c>
      <c r="BB21" s="77"/>
      <c r="BC21" s="77"/>
      <c r="BD21" s="77"/>
      <c r="BE21" s="2" t="s">
        <v>52</v>
      </c>
      <c r="BF21" s="2"/>
      <c r="BG21" s="2"/>
      <c r="BH21" s="2"/>
      <c r="BI21" s="1"/>
      <c r="BM21" s="1"/>
      <c r="BN21" s="1"/>
    </row>
    <row r="22" spans="1:66" x14ac:dyDescent="0.25">
      <c r="A22" s="114" t="s">
        <v>129</v>
      </c>
      <c r="B22" s="105">
        <v>80</v>
      </c>
      <c r="C22" s="105">
        <v>80</v>
      </c>
      <c r="D22" s="105">
        <v>41</v>
      </c>
      <c r="E22" s="105">
        <v>0</v>
      </c>
      <c r="F22" s="33">
        <v>0.17</v>
      </c>
      <c r="G22" s="6">
        <v>1</v>
      </c>
      <c r="H22" s="7">
        <v>9.8000000000000007</v>
      </c>
      <c r="I22" s="8">
        <v>68</v>
      </c>
      <c r="J22" s="8">
        <v>154</v>
      </c>
      <c r="K22" s="8">
        <v>612</v>
      </c>
      <c r="L22" s="7">
        <v>5.5</v>
      </c>
      <c r="M22" s="7">
        <v>2.8</v>
      </c>
      <c r="N22" s="49">
        <v>17</v>
      </c>
      <c r="O22" s="9">
        <v>0</v>
      </c>
      <c r="P22" s="9">
        <v>0</v>
      </c>
      <c r="Q22" s="43">
        <f>B22*$F22</f>
        <v>13.600000000000001</v>
      </c>
      <c r="R22" s="43">
        <f t="shared" ref="R22:T32" si="2">C22*$F22</f>
        <v>13.600000000000001</v>
      </c>
      <c r="S22" s="43">
        <f t="shared" si="2"/>
        <v>6.9700000000000006</v>
      </c>
      <c r="T22" s="43">
        <f t="shared" si="2"/>
        <v>0</v>
      </c>
      <c r="U22" s="43">
        <f>Q22*$G22</f>
        <v>13.600000000000001</v>
      </c>
      <c r="V22" s="43">
        <f t="shared" ref="V22:X32" si="3">R22*$G22</f>
        <v>13.600000000000001</v>
      </c>
      <c r="W22" s="43">
        <f t="shared" si="3"/>
        <v>6.9700000000000006</v>
      </c>
      <c r="X22" s="43">
        <f t="shared" si="3"/>
        <v>0</v>
      </c>
      <c r="Y22" s="43">
        <f>$H22*Q22</f>
        <v>133.28000000000003</v>
      </c>
      <c r="Z22" s="43">
        <f t="shared" ref="Z22:AB32" si="4">$H22*R22</f>
        <v>133.28000000000003</v>
      </c>
      <c r="AA22" s="43">
        <f t="shared" si="4"/>
        <v>68.306000000000012</v>
      </c>
      <c r="AB22" s="43">
        <f t="shared" si="4"/>
        <v>0</v>
      </c>
      <c r="AC22" s="43">
        <f>Q22*$I22</f>
        <v>924.80000000000007</v>
      </c>
      <c r="AD22" s="43">
        <f t="shared" ref="AD22:AF32" si="5">R22*$I22</f>
        <v>924.80000000000007</v>
      </c>
      <c r="AE22" s="43">
        <f t="shared" si="5"/>
        <v>473.96000000000004</v>
      </c>
      <c r="AF22" s="43">
        <f t="shared" si="5"/>
        <v>0</v>
      </c>
      <c r="AG22" s="43">
        <f>Q22*$J22</f>
        <v>2094.4</v>
      </c>
      <c r="AH22" s="43">
        <f t="shared" ref="AH22:AJ32" si="6">R22*$J22</f>
        <v>2094.4</v>
      </c>
      <c r="AI22" s="43">
        <f t="shared" si="6"/>
        <v>1073.3800000000001</v>
      </c>
      <c r="AJ22" s="43">
        <f t="shared" si="6"/>
        <v>0</v>
      </c>
      <c r="AK22" s="43">
        <f>Q22*$K22</f>
        <v>8323.2000000000007</v>
      </c>
      <c r="AL22" s="43">
        <f t="shared" ref="AL22:AN32" si="7">R22*$K22</f>
        <v>8323.2000000000007</v>
      </c>
      <c r="AM22" s="43">
        <f t="shared" si="7"/>
        <v>4265.6400000000003</v>
      </c>
      <c r="AN22" s="43">
        <f t="shared" si="7"/>
        <v>0</v>
      </c>
      <c r="AO22" s="43">
        <f>Q22*$L22</f>
        <v>74.800000000000011</v>
      </c>
      <c r="AP22" s="43">
        <f t="shared" ref="AP22:AR32" si="8">R22*$L22</f>
        <v>74.800000000000011</v>
      </c>
      <c r="AQ22" s="43">
        <f t="shared" si="8"/>
        <v>38.335000000000001</v>
      </c>
      <c r="AR22" s="43">
        <f t="shared" si="8"/>
        <v>0</v>
      </c>
      <c r="AS22" s="43">
        <f>Q22*$M22</f>
        <v>38.08</v>
      </c>
      <c r="AT22" s="43">
        <f t="shared" ref="AT22:AV32" si="9">R22*$M22</f>
        <v>38.08</v>
      </c>
      <c r="AU22" s="43">
        <f t="shared" si="9"/>
        <v>19.516000000000002</v>
      </c>
      <c r="AV22" s="43">
        <f t="shared" si="9"/>
        <v>0</v>
      </c>
      <c r="AW22" s="45">
        <f>$N22*B22/100</f>
        <v>13.6</v>
      </c>
      <c r="AX22" s="45">
        <f t="shared" ref="AX22:AZ32" si="10">$N22*C22/100</f>
        <v>13.6</v>
      </c>
      <c r="AY22" s="45">
        <f t="shared" si="10"/>
        <v>6.97</v>
      </c>
      <c r="AZ22" s="45">
        <f t="shared" si="10"/>
        <v>0</v>
      </c>
      <c r="BA22" s="45">
        <f>$O22*AG22</f>
        <v>0</v>
      </c>
      <c r="BB22" s="45">
        <f t="shared" ref="BB22:BD32" si="11">$O22*AH22</f>
        <v>0</v>
      </c>
      <c r="BC22" s="45">
        <f t="shared" si="11"/>
        <v>0</v>
      </c>
      <c r="BD22" s="45">
        <f t="shared" si="11"/>
        <v>0</v>
      </c>
      <c r="BE22" s="44">
        <f>$P22*Q22</f>
        <v>0</v>
      </c>
      <c r="BF22" s="44">
        <f t="shared" ref="BF22:BH32" si="12">$P22*R22</f>
        <v>0</v>
      </c>
      <c r="BG22" s="44">
        <f t="shared" si="12"/>
        <v>0</v>
      </c>
      <c r="BH22" s="44">
        <f t="shared" si="12"/>
        <v>0</v>
      </c>
      <c r="BJ22" s="4"/>
      <c r="BK22" s="4"/>
      <c r="BL22" s="4"/>
    </row>
    <row r="23" spans="1:66" s="4" customFormat="1" x14ac:dyDescent="0.25">
      <c r="A23" s="114" t="s">
        <v>132</v>
      </c>
      <c r="B23" s="105"/>
      <c r="C23" s="105"/>
      <c r="D23" s="105">
        <v>24</v>
      </c>
      <c r="E23" s="105"/>
      <c r="F23" s="33">
        <v>0.28999999999999998</v>
      </c>
      <c r="G23" s="6">
        <v>1</v>
      </c>
      <c r="H23" s="7">
        <v>10.3</v>
      </c>
      <c r="I23" s="8">
        <v>70</v>
      </c>
      <c r="J23" s="8">
        <v>123</v>
      </c>
      <c r="K23" s="8">
        <v>570</v>
      </c>
      <c r="L23" s="7">
        <v>6</v>
      </c>
      <c r="M23" s="7">
        <v>2.7</v>
      </c>
      <c r="N23" s="49">
        <v>29</v>
      </c>
      <c r="O23" s="80">
        <v>0</v>
      </c>
      <c r="P23" s="80">
        <v>0</v>
      </c>
      <c r="Q23" s="43">
        <f>B23*$F23</f>
        <v>0</v>
      </c>
      <c r="R23" s="43">
        <f t="shared" si="2"/>
        <v>0</v>
      </c>
      <c r="S23" s="43">
        <f t="shared" si="2"/>
        <v>6.9599999999999991</v>
      </c>
      <c r="T23" s="43">
        <f t="shared" si="2"/>
        <v>0</v>
      </c>
      <c r="U23" s="43">
        <f t="shared" ref="U23:U32" si="13">Q23*$G23</f>
        <v>0</v>
      </c>
      <c r="V23" s="43">
        <f t="shared" si="3"/>
        <v>0</v>
      </c>
      <c r="W23" s="43">
        <f t="shared" si="3"/>
        <v>6.9599999999999991</v>
      </c>
      <c r="X23" s="43">
        <f t="shared" si="3"/>
        <v>0</v>
      </c>
      <c r="Y23" s="43">
        <f t="shared" ref="Y23:Y32" si="14">$H23*Q23</f>
        <v>0</v>
      </c>
      <c r="Z23" s="43">
        <f t="shared" si="4"/>
        <v>0</v>
      </c>
      <c r="AA23" s="43">
        <f t="shared" si="4"/>
        <v>71.688000000000002</v>
      </c>
      <c r="AB23" s="43">
        <f t="shared" si="4"/>
        <v>0</v>
      </c>
      <c r="AC23" s="43">
        <f t="shared" ref="AC23:AC32" si="15">Q23*$I23</f>
        <v>0</v>
      </c>
      <c r="AD23" s="43">
        <f t="shared" si="5"/>
        <v>0</v>
      </c>
      <c r="AE23" s="43">
        <f t="shared" si="5"/>
        <v>487.19999999999993</v>
      </c>
      <c r="AF23" s="43">
        <f t="shared" si="5"/>
        <v>0</v>
      </c>
      <c r="AG23" s="43">
        <f t="shared" ref="AG23:AG32" si="16">Q23*$J23</f>
        <v>0</v>
      </c>
      <c r="AH23" s="43">
        <f t="shared" si="6"/>
        <v>0</v>
      </c>
      <c r="AI23" s="43">
        <f t="shared" si="6"/>
        <v>856.07999999999993</v>
      </c>
      <c r="AJ23" s="43">
        <f t="shared" si="6"/>
        <v>0</v>
      </c>
      <c r="AK23" s="43">
        <f t="shared" ref="AK23:AK32" si="17">Q23*$K23</f>
        <v>0</v>
      </c>
      <c r="AL23" s="43">
        <f t="shared" si="7"/>
        <v>0</v>
      </c>
      <c r="AM23" s="43">
        <f t="shared" si="7"/>
        <v>3967.1999999999994</v>
      </c>
      <c r="AN23" s="43">
        <f t="shared" si="7"/>
        <v>0</v>
      </c>
      <c r="AO23" s="43">
        <f t="shared" ref="AO23:AO32" si="18">Q23*$L23</f>
        <v>0</v>
      </c>
      <c r="AP23" s="43">
        <f t="shared" si="8"/>
        <v>0</v>
      </c>
      <c r="AQ23" s="43">
        <f t="shared" si="8"/>
        <v>41.759999999999991</v>
      </c>
      <c r="AR23" s="43">
        <f t="shared" si="8"/>
        <v>0</v>
      </c>
      <c r="AS23" s="43">
        <f t="shared" ref="AS23:AS32" si="19">Q23*$M23</f>
        <v>0</v>
      </c>
      <c r="AT23" s="43">
        <f t="shared" si="9"/>
        <v>0</v>
      </c>
      <c r="AU23" s="43">
        <f t="shared" si="9"/>
        <v>18.791999999999998</v>
      </c>
      <c r="AV23" s="43">
        <f t="shared" si="9"/>
        <v>0</v>
      </c>
      <c r="AW23" s="45">
        <f t="shared" ref="AW23:AW32" si="20">$N23*B23/100</f>
        <v>0</v>
      </c>
      <c r="AX23" s="45">
        <f t="shared" si="10"/>
        <v>0</v>
      </c>
      <c r="AY23" s="45">
        <f t="shared" si="10"/>
        <v>6.96</v>
      </c>
      <c r="AZ23" s="45">
        <f t="shared" si="10"/>
        <v>0</v>
      </c>
      <c r="BA23" s="45">
        <f t="shared" ref="BA23:BA32" si="21">$O23*AG23</f>
        <v>0</v>
      </c>
      <c r="BB23" s="45">
        <f t="shared" si="11"/>
        <v>0</v>
      </c>
      <c r="BC23" s="45">
        <f t="shared" si="11"/>
        <v>0</v>
      </c>
      <c r="BD23" s="45">
        <f t="shared" si="11"/>
        <v>0</v>
      </c>
      <c r="BE23" s="44">
        <f t="shared" ref="BE23:BE32" si="22">$P23*Q23</f>
        <v>0</v>
      </c>
      <c r="BF23" s="44">
        <f t="shared" si="12"/>
        <v>0</v>
      </c>
      <c r="BG23" s="44">
        <f t="shared" si="12"/>
        <v>0</v>
      </c>
      <c r="BH23" s="44">
        <f t="shared" si="12"/>
        <v>0</v>
      </c>
      <c r="BI23" s="1"/>
      <c r="BM23" s="1"/>
      <c r="BN23" s="1"/>
    </row>
    <row r="24" spans="1:66" s="4" customFormat="1" x14ac:dyDescent="0.25">
      <c r="A24" s="170" t="s">
        <v>28</v>
      </c>
      <c r="B24" s="7">
        <v>0</v>
      </c>
      <c r="C24" s="7"/>
      <c r="D24" s="7"/>
      <c r="E24" s="7"/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ref="Q24:Q32" si="23">B24*$F24</f>
        <v>0</v>
      </c>
      <c r="R24" s="43">
        <f t="shared" si="2"/>
        <v>0</v>
      </c>
      <c r="S24" s="43">
        <f t="shared" si="2"/>
        <v>0</v>
      </c>
      <c r="T24" s="43">
        <f t="shared" si="2"/>
        <v>0</v>
      </c>
      <c r="U24" s="43">
        <f t="shared" si="1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  <c r="Y24" s="43">
        <f t="shared" si="14"/>
        <v>0</v>
      </c>
      <c r="Z24" s="43">
        <f t="shared" si="4"/>
        <v>0</v>
      </c>
      <c r="AA24" s="43">
        <f t="shared" si="4"/>
        <v>0</v>
      </c>
      <c r="AB24" s="43">
        <f t="shared" si="4"/>
        <v>0</v>
      </c>
      <c r="AC24" s="43">
        <f t="shared" si="15"/>
        <v>0</v>
      </c>
      <c r="AD24" s="43">
        <f t="shared" si="5"/>
        <v>0</v>
      </c>
      <c r="AE24" s="43">
        <f t="shared" si="5"/>
        <v>0</v>
      </c>
      <c r="AF24" s="43">
        <f t="shared" si="5"/>
        <v>0</v>
      </c>
      <c r="AG24" s="43">
        <f t="shared" si="16"/>
        <v>0</v>
      </c>
      <c r="AH24" s="43">
        <f t="shared" si="6"/>
        <v>0</v>
      </c>
      <c r="AI24" s="43">
        <f t="shared" si="6"/>
        <v>0</v>
      </c>
      <c r="AJ24" s="43">
        <f t="shared" si="6"/>
        <v>0</v>
      </c>
      <c r="AK24" s="43">
        <f t="shared" si="17"/>
        <v>0</v>
      </c>
      <c r="AL24" s="43">
        <f t="shared" si="7"/>
        <v>0</v>
      </c>
      <c r="AM24" s="43">
        <f t="shared" si="7"/>
        <v>0</v>
      </c>
      <c r="AN24" s="43">
        <f t="shared" si="7"/>
        <v>0</v>
      </c>
      <c r="AO24" s="43">
        <f t="shared" si="18"/>
        <v>0</v>
      </c>
      <c r="AP24" s="43">
        <f t="shared" si="8"/>
        <v>0</v>
      </c>
      <c r="AQ24" s="43">
        <f t="shared" si="8"/>
        <v>0</v>
      </c>
      <c r="AR24" s="43">
        <f t="shared" si="8"/>
        <v>0</v>
      </c>
      <c r="AS24" s="43">
        <f t="shared" si="19"/>
        <v>0</v>
      </c>
      <c r="AT24" s="43">
        <f t="shared" si="9"/>
        <v>0</v>
      </c>
      <c r="AU24" s="43">
        <f t="shared" si="9"/>
        <v>0</v>
      </c>
      <c r="AV24" s="43">
        <f t="shared" si="9"/>
        <v>0</v>
      </c>
      <c r="AW24" s="45">
        <f t="shared" si="20"/>
        <v>0</v>
      </c>
      <c r="AX24" s="45">
        <f t="shared" si="10"/>
        <v>0</v>
      </c>
      <c r="AY24" s="45">
        <f t="shared" si="10"/>
        <v>0</v>
      </c>
      <c r="AZ24" s="45">
        <f t="shared" si="10"/>
        <v>0</v>
      </c>
      <c r="BA24" s="45">
        <f t="shared" si="21"/>
        <v>0</v>
      </c>
      <c r="BB24" s="45">
        <f t="shared" si="11"/>
        <v>0</v>
      </c>
      <c r="BC24" s="45">
        <f t="shared" si="11"/>
        <v>0</v>
      </c>
      <c r="BD24" s="45">
        <f t="shared" si="11"/>
        <v>0</v>
      </c>
      <c r="BE24" s="44">
        <f t="shared" si="22"/>
        <v>0</v>
      </c>
      <c r="BF24" s="44">
        <f t="shared" si="12"/>
        <v>0</v>
      </c>
      <c r="BG24" s="44">
        <f t="shared" si="12"/>
        <v>0</v>
      </c>
      <c r="BH24" s="44">
        <f t="shared" si="12"/>
        <v>0</v>
      </c>
    </row>
    <row r="25" spans="1:66" x14ac:dyDescent="0.25">
      <c r="A25" s="170" t="s">
        <v>32</v>
      </c>
      <c r="B25" s="7"/>
      <c r="C25" s="7"/>
      <c r="D25" s="7"/>
      <c r="E25" s="7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23"/>
        <v>0</v>
      </c>
      <c r="R25" s="43">
        <f t="shared" si="2"/>
        <v>0</v>
      </c>
      <c r="S25" s="43">
        <f t="shared" si="2"/>
        <v>0</v>
      </c>
      <c r="T25" s="43">
        <f t="shared" si="2"/>
        <v>0</v>
      </c>
      <c r="U25" s="43">
        <f t="shared" si="13"/>
        <v>0</v>
      </c>
      <c r="V25" s="43">
        <f t="shared" si="3"/>
        <v>0</v>
      </c>
      <c r="W25" s="43">
        <f t="shared" si="3"/>
        <v>0</v>
      </c>
      <c r="X25" s="43">
        <f t="shared" si="3"/>
        <v>0</v>
      </c>
      <c r="Y25" s="43">
        <f t="shared" si="14"/>
        <v>0</v>
      </c>
      <c r="Z25" s="43">
        <f t="shared" si="4"/>
        <v>0</v>
      </c>
      <c r="AA25" s="43">
        <f t="shared" si="4"/>
        <v>0</v>
      </c>
      <c r="AB25" s="43">
        <f t="shared" si="4"/>
        <v>0</v>
      </c>
      <c r="AC25" s="43">
        <f t="shared" si="15"/>
        <v>0</v>
      </c>
      <c r="AD25" s="43">
        <f t="shared" si="5"/>
        <v>0</v>
      </c>
      <c r="AE25" s="43">
        <f t="shared" si="5"/>
        <v>0</v>
      </c>
      <c r="AF25" s="43">
        <f t="shared" si="5"/>
        <v>0</v>
      </c>
      <c r="AG25" s="43">
        <f t="shared" si="16"/>
        <v>0</v>
      </c>
      <c r="AH25" s="43">
        <f t="shared" si="6"/>
        <v>0</v>
      </c>
      <c r="AI25" s="43">
        <f t="shared" si="6"/>
        <v>0</v>
      </c>
      <c r="AJ25" s="43">
        <f t="shared" si="6"/>
        <v>0</v>
      </c>
      <c r="AK25" s="43">
        <f t="shared" si="17"/>
        <v>0</v>
      </c>
      <c r="AL25" s="43">
        <f t="shared" si="7"/>
        <v>0</v>
      </c>
      <c r="AM25" s="43">
        <f t="shared" si="7"/>
        <v>0</v>
      </c>
      <c r="AN25" s="43">
        <f t="shared" si="7"/>
        <v>0</v>
      </c>
      <c r="AO25" s="43">
        <f t="shared" si="18"/>
        <v>0</v>
      </c>
      <c r="AP25" s="43">
        <f t="shared" si="8"/>
        <v>0</v>
      </c>
      <c r="AQ25" s="43">
        <f t="shared" si="8"/>
        <v>0</v>
      </c>
      <c r="AR25" s="43">
        <f t="shared" si="8"/>
        <v>0</v>
      </c>
      <c r="AS25" s="43">
        <f t="shared" si="19"/>
        <v>0</v>
      </c>
      <c r="AT25" s="43">
        <f t="shared" si="9"/>
        <v>0</v>
      </c>
      <c r="AU25" s="43">
        <f t="shared" si="9"/>
        <v>0</v>
      </c>
      <c r="AV25" s="43">
        <f t="shared" si="9"/>
        <v>0</v>
      </c>
      <c r="AW25" s="45">
        <f t="shared" si="20"/>
        <v>0</v>
      </c>
      <c r="AX25" s="45">
        <f t="shared" si="10"/>
        <v>0</v>
      </c>
      <c r="AY25" s="45">
        <f t="shared" si="10"/>
        <v>0</v>
      </c>
      <c r="AZ25" s="45">
        <f t="shared" si="10"/>
        <v>0</v>
      </c>
      <c r="BA25" s="45">
        <f t="shared" si="21"/>
        <v>0</v>
      </c>
      <c r="BB25" s="45">
        <f t="shared" si="11"/>
        <v>0</v>
      </c>
      <c r="BC25" s="45">
        <f t="shared" si="11"/>
        <v>0</v>
      </c>
      <c r="BD25" s="45">
        <f t="shared" si="11"/>
        <v>0</v>
      </c>
      <c r="BE25" s="44">
        <f t="shared" si="22"/>
        <v>0</v>
      </c>
      <c r="BF25" s="44">
        <f t="shared" si="12"/>
        <v>0</v>
      </c>
      <c r="BG25" s="44">
        <f t="shared" si="12"/>
        <v>0</v>
      </c>
      <c r="BH25" s="44">
        <f t="shared" si="12"/>
        <v>0</v>
      </c>
      <c r="BI25" s="4"/>
      <c r="BJ25" s="4"/>
      <c r="BK25" s="4"/>
      <c r="BL25" s="4"/>
    </row>
    <row r="26" spans="1:66" x14ac:dyDescent="0.25">
      <c r="A26" s="114" t="s">
        <v>133</v>
      </c>
      <c r="B26" s="105"/>
      <c r="C26" s="105">
        <v>0</v>
      </c>
      <c r="D26" s="105">
        <v>20</v>
      </c>
      <c r="E26" s="105">
        <v>0</v>
      </c>
      <c r="F26" s="33">
        <v>0.87</v>
      </c>
      <c r="G26" s="6">
        <v>0</v>
      </c>
      <c r="H26" s="7">
        <v>13</v>
      </c>
      <c r="I26" s="8">
        <v>102</v>
      </c>
      <c r="J26" s="8">
        <v>163</v>
      </c>
      <c r="K26" s="8">
        <v>232</v>
      </c>
      <c r="L26" s="7">
        <v>7.29</v>
      </c>
      <c r="M26" s="7">
        <v>5.0999999999999996</v>
      </c>
      <c r="N26" s="49">
        <v>1.34</v>
      </c>
      <c r="O26" s="80">
        <v>0</v>
      </c>
      <c r="P26" s="80">
        <v>0</v>
      </c>
      <c r="Q26" s="43">
        <f t="shared" si="23"/>
        <v>0</v>
      </c>
      <c r="R26" s="43">
        <f t="shared" si="2"/>
        <v>0</v>
      </c>
      <c r="S26" s="43">
        <f t="shared" si="2"/>
        <v>17.399999999999999</v>
      </c>
      <c r="T26" s="43">
        <f t="shared" si="2"/>
        <v>0</v>
      </c>
      <c r="U26" s="43">
        <f t="shared" si="1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14"/>
        <v>0</v>
      </c>
      <c r="Z26" s="43">
        <f t="shared" si="4"/>
        <v>0</v>
      </c>
      <c r="AA26" s="43">
        <f t="shared" si="4"/>
        <v>226.2</v>
      </c>
      <c r="AB26" s="43">
        <f t="shared" si="4"/>
        <v>0</v>
      </c>
      <c r="AC26" s="43">
        <f t="shared" si="15"/>
        <v>0</v>
      </c>
      <c r="AD26" s="43">
        <f t="shared" si="5"/>
        <v>0</v>
      </c>
      <c r="AE26" s="43">
        <f t="shared" si="5"/>
        <v>1774.8</v>
      </c>
      <c r="AF26" s="43">
        <f t="shared" si="5"/>
        <v>0</v>
      </c>
      <c r="AG26" s="43">
        <f t="shared" si="16"/>
        <v>0</v>
      </c>
      <c r="AH26" s="43">
        <f t="shared" si="6"/>
        <v>0</v>
      </c>
      <c r="AI26" s="43">
        <f t="shared" si="6"/>
        <v>2836.2</v>
      </c>
      <c r="AJ26" s="43">
        <f t="shared" si="6"/>
        <v>0</v>
      </c>
      <c r="AK26" s="43">
        <f t="shared" si="17"/>
        <v>0</v>
      </c>
      <c r="AL26" s="43">
        <f t="shared" si="7"/>
        <v>0</v>
      </c>
      <c r="AM26" s="43">
        <f t="shared" si="7"/>
        <v>4036.7999999999997</v>
      </c>
      <c r="AN26" s="43">
        <f t="shared" si="7"/>
        <v>0</v>
      </c>
      <c r="AO26" s="43">
        <f t="shared" si="18"/>
        <v>0</v>
      </c>
      <c r="AP26" s="43">
        <f t="shared" si="8"/>
        <v>0</v>
      </c>
      <c r="AQ26" s="43">
        <f t="shared" si="8"/>
        <v>126.84599999999999</v>
      </c>
      <c r="AR26" s="43">
        <f t="shared" si="8"/>
        <v>0</v>
      </c>
      <c r="AS26" s="43">
        <f t="shared" si="19"/>
        <v>0</v>
      </c>
      <c r="AT26" s="43">
        <f t="shared" si="9"/>
        <v>0</v>
      </c>
      <c r="AU26" s="43">
        <f t="shared" si="9"/>
        <v>88.739999999999981</v>
      </c>
      <c r="AV26" s="43">
        <f t="shared" si="9"/>
        <v>0</v>
      </c>
      <c r="AW26" s="45">
        <f t="shared" si="20"/>
        <v>0</v>
      </c>
      <c r="AX26" s="45">
        <f t="shared" si="10"/>
        <v>0</v>
      </c>
      <c r="AY26" s="45">
        <f t="shared" si="10"/>
        <v>0.26800000000000002</v>
      </c>
      <c r="AZ26" s="45">
        <f t="shared" si="10"/>
        <v>0</v>
      </c>
      <c r="BA26" s="45">
        <f t="shared" si="21"/>
        <v>0</v>
      </c>
      <c r="BB26" s="45">
        <f t="shared" si="11"/>
        <v>0</v>
      </c>
      <c r="BC26" s="45">
        <f t="shared" si="11"/>
        <v>0</v>
      </c>
      <c r="BD26" s="45">
        <f t="shared" si="11"/>
        <v>0</v>
      </c>
      <c r="BE26" s="44">
        <f t="shared" si="22"/>
        <v>0</v>
      </c>
      <c r="BF26" s="44">
        <f t="shared" si="12"/>
        <v>0</v>
      </c>
      <c r="BG26" s="44">
        <f t="shared" si="12"/>
        <v>0</v>
      </c>
      <c r="BH26" s="44">
        <f t="shared" si="12"/>
        <v>0</v>
      </c>
      <c r="BI26" s="4"/>
      <c r="BJ26" s="4"/>
      <c r="BK26" s="4"/>
      <c r="BL26" s="4"/>
      <c r="BM26" s="4"/>
      <c r="BN26" s="4"/>
    </row>
    <row r="27" spans="1:66" x14ac:dyDescent="0.25">
      <c r="A27" s="170" t="s">
        <v>128</v>
      </c>
      <c r="B27" s="7"/>
      <c r="C27" s="7">
        <v>0</v>
      </c>
      <c r="D27" s="7">
        <v>0</v>
      </c>
      <c r="E27" s="7"/>
      <c r="F27" s="33">
        <v>0.89</v>
      </c>
      <c r="G27" s="6">
        <v>0</v>
      </c>
      <c r="H27" s="7">
        <v>12.3</v>
      </c>
      <c r="I27" s="8">
        <v>145</v>
      </c>
      <c r="J27" s="8">
        <v>290</v>
      </c>
      <c r="K27" s="8">
        <v>296</v>
      </c>
      <c r="L27" s="7">
        <v>29</v>
      </c>
      <c r="M27" s="7">
        <v>9</v>
      </c>
      <c r="N27" s="49">
        <v>202</v>
      </c>
      <c r="O27" s="80">
        <v>1</v>
      </c>
      <c r="P27" s="80">
        <v>0</v>
      </c>
      <c r="Q27" s="43">
        <f t="shared" si="23"/>
        <v>0</v>
      </c>
      <c r="R27" s="43">
        <f t="shared" si="2"/>
        <v>0</v>
      </c>
      <c r="S27" s="43">
        <f t="shared" si="2"/>
        <v>0</v>
      </c>
      <c r="T27" s="43">
        <f t="shared" si="2"/>
        <v>0</v>
      </c>
      <c r="U27" s="43">
        <f t="shared" si="13"/>
        <v>0</v>
      </c>
      <c r="V27" s="43">
        <f t="shared" si="3"/>
        <v>0</v>
      </c>
      <c r="W27" s="43">
        <f t="shared" si="3"/>
        <v>0</v>
      </c>
      <c r="X27" s="43">
        <f t="shared" si="3"/>
        <v>0</v>
      </c>
      <c r="Y27" s="43">
        <f t="shared" si="14"/>
        <v>0</v>
      </c>
      <c r="Z27" s="43">
        <f t="shared" si="4"/>
        <v>0</v>
      </c>
      <c r="AA27" s="43">
        <f t="shared" si="4"/>
        <v>0</v>
      </c>
      <c r="AB27" s="43">
        <f t="shared" si="4"/>
        <v>0</v>
      </c>
      <c r="AC27" s="43">
        <f t="shared" si="15"/>
        <v>0</v>
      </c>
      <c r="AD27" s="43">
        <f t="shared" si="5"/>
        <v>0</v>
      </c>
      <c r="AE27" s="43">
        <f t="shared" si="5"/>
        <v>0</v>
      </c>
      <c r="AF27" s="43">
        <f t="shared" si="5"/>
        <v>0</v>
      </c>
      <c r="AG27" s="43">
        <f t="shared" si="16"/>
        <v>0</v>
      </c>
      <c r="AH27" s="43">
        <f t="shared" si="6"/>
        <v>0</v>
      </c>
      <c r="AI27" s="43">
        <f t="shared" si="6"/>
        <v>0</v>
      </c>
      <c r="AJ27" s="43">
        <f t="shared" si="6"/>
        <v>0</v>
      </c>
      <c r="AK27" s="43">
        <f t="shared" si="17"/>
        <v>0</v>
      </c>
      <c r="AL27" s="43">
        <f t="shared" si="7"/>
        <v>0</v>
      </c>
      <c r="AM27" s="43">
        <f t="shared" si="7"/>
        <v>0</v>
      </c>
      <c r="AN27" s="43">
        <f t="shared" si="7"/>
        <v>0</v>
      </c>
      <c r="AO27" s="43">
        <f t="shared" si="18"/>
        <v>0</v>
      </c>
      <c r="AP27" s="43">
        <f t="shared" si="8"/>
        <v>0</v>
      </c>
      <c r="AQ27" s="43">
        <f t="shared" si="8"/>
        <v>0</v>
      </c>
      <c r="AR27" s="43">
        <f t="shared" si="8"/>
        <v>0</v>
      </c>
      <c r="AS27" s="43">
        <f t="shared" si="19"/>
        <v>0</v>
      </c>
      <c r="AT27" s="43">
        <f t="shared" si="9"/>
        <v>0</v>
      </c>
      <c r="AU27" s="43">
        <f t="shared" si="9"/>
        <v>0</v>
      </c>
      <c r="AV27" s="43">
        <f t="shared" si="9"/>
        <v>0</v>
      </c>
      <c r="AW27" s="45">
        <f t="shared" si="20"/>
        <v>0</v>
      </c>
      <c r="AX27" s="45">
        <f t="shared" si="10"/>
        <v>0</v>
      </c>
      <c r="AY27" s="45">
        <f t="shared" si="10"/>
        <v>0</v>
      </c>
      <c r="AZ27" s="45">
        <f t="shared" si="10"/>
        <v>0</v>
      </c>
      <c r="BA27" s="45">
        <f t="shared" si="21"/>
        <v>0</v>
      </c>
      <c r="BB27" s="45">
        <f t="shared" si="11"/>
        <v>0</v>
      </c>
      <c r="BC27" s="45">
        <f t="shared" si="11"/>
        <v>0</v>
      </c>
      <c r="BD27" s="45">
        <f t="shared" si="11"/>
        <v>0</v>
      </c>
      <c r="BE27" s="44">
        <f t="shared" si="22"/>
        <v>0</v>
      </c>
      <c r="BF27" s="44">
        <f t="shared" si="12"/>
        <v>0</v>
      </c>
      <c r="BG27" s="44">
        <f t="shared" si="12"/>
        <v>0</v>
      </c>
      <c r="BH27" s="44">
        <f t="shared" si="12"/>
        <v>0</v>
      </c>
      <c r="BI27" s="4"/>
      <c r="BJ27" s="4"/>
      <c r="BK27" s="4"/>
      <c r="BL27" s="4"/>
      <c r="BM27" s="4"/>
      <c r="BN27" s="4"/>
    </row>
    <row r="28" spans="1:66" x14ac:dyDescent="0.25">
      <c r="A28" s="170" t="s">
        <v>130</v>
      </c>
      <c r="B28" s="7">
        <v>35</v>
      </c>
      <c r="C28" s="7">
        <v>54</v>
      </c>
      <c r="D28" s="7">
        <v>10</v>
      </c>
      <c r="E28" s="7">
        <v>10</v>
      </c>
      <c r="F28" s="34">
        <v>0.87</v>
      </c>
      <c r="G28" s="6">
        <v>0</v>
      </c>
      <c r="H28" s="7">
        <v>13</v>
      </c>
      <c r="I28" s="8">
        <v>120</v>
      </c>
      <c r="J28" s="8">
        <v>200</v>
      </c>
      <c r="K28" s="8">
        <v>292</v>
      </c>
      <c r="L28" s="7">
        <v>13.5</v>
      </c>
      <c r="M28" s="7">
        <v>6.8</v>
      </c>
      <c r="N28" s="49">
        <v>172</v>
      </c>
      <c r="O28" s="80">
        <v>1</v>
      </c>
      <c r="P28" s="80">
        <v>0</v>
      </c>
      <c r="Q28" s="43">
        <f t="shared" si="23"/>
        <v>30.45</v>
      </c>
      <c r="R28" s="43">
        <f t="shared" si="2"/>
        <v>46.98</v>
      </c>
      <c r="S28" s="43">
        <f t="shared" si="2"/>
        <v>8.6999999999999993</v>
      </c>
      <c r="T28" s="43">
        <f t="shared" si="2"/>
        <v>8.6999999999999993</v>
      </c>
      <c r="U28" s="43">
        <f t="shared" si="13"/>
        <v>0</v>
      </c>
      <c r="V28" s="43">
        <f t="shared" si="3"/>
        <v>0</v>
      </c>
      <c r="W28" s="43">
        <f t="shared" si="3"/>
        <v>0</v>
      </c>
      <c r="X28" s="43">
        <f t="shared" si="3"/>
        <v>0</v>
      </c>
      <c r="Y28" s="43">
        <f t="shared" si="14"/>
        <v>395.84999999999997</v>
      </c>
      <c r="Z28" s="43">
        <f t="shared" si="4"/>
        <v>610.74</v>
      </c>
      <c r="AA28" s="43">
        <f t="shared" si="4"/>
        <v>113.1</v>
      </c>
      <c r="AB28" s="43">
        <f t="shared" si="4"/>
        <v>113.1</v>
      </c>
      <c r="AC28" s="43">
        <f t="shared" si="15"/>
        <v>3654</v>
      </c>
      <c r="AD28" s="43">
        <f t="shared" si="5"/>
        <v>5637.5999999999995</v>
      </c>
      <c r="AE28" s="43">
        <f t="shared" si="5"/>
        <v>1044</v>
      </c>
      <c r="AF28" s="43">
        <f t="shared" si="5"/>
        <v>1044</v>
      </c>
      <c r="AG28" s="43">
        <f t="shared" si="16"/>
        <v>6090</v>
      </c>
      <c r="AH28" s="43">
        <f t="shared" si="6"/>
        <v>9396</v>
      </c>
      <c r="AI28" s="43">
        <f t="shared" si="6"/>
        <v>1739.9999999999998</v>
      </c>
      <c r="AJ28" s="43">
        <f t="shared" si="6"/>
        <v>1739.9999999999998</v>
      </c>
      <c r="AK28" s="43">
        <f t="shared" si="17"/>
        <v>8891.4</v>
      </c>
      <c r="AL28" s="43">
        <f t="shared" si="7"/>
        <v>13718.16</v>
      </c>
      <c r="AM28" s="43">
        <f t="shared" si="7"/>
        <v>2540.3999999999996</v>
      </c>
      <c r="AN28" s="43">
        <f t="shared" si="7"/>
        <v>2540.3999999999996</v>
      </c>
      <c r="AO28" s="43">
        <f t="shared" si="18"/>
        <v>411.07499999999999</v>
      </c>
      <c r="AP28" s="43">
        <f t="shared" si="8"/>
        <v>634.2299999999999</v>
      </c>
      <c r="AQ28" s="43">
        <f t="shared" si="8"/>
        <v>117.44999999999999</v>
      </c>
      <c r="AR28" s="43">
        <f t="shared" si="8"/>
        <v>117.44999999999999</v>
      </c>
      <c r="AS28" s="43">
        <f t="shared" si="19"/>
        <v>207.06</v>
      </c>
      <c r="AT28" s="43">
        <f t="shared" si="9"/>
        <v>319.464</v>
      </c>
      <c r="AU28" s="43">
        <f t="shared" si="9"/>
        <v>59.16</v>
      </c>
      <c r="AV28" s="43">
        <f t="shared" si="9"/>
        <v>59.16</v>
      </c>
      <c r="AW28" s="45">
        <f t="shared" si="20"/>
        <v>60.2</v>
      </c>
      <c r="AX28" s="45">
        <f t="shared" si="10"/>
        <v>92.88</v>
      </c>
      <c r="AY28" s="45">
        <f t="shared" si="10"/>
        <v>17.2</v>
      </c>
      <c r="AZ28" s="45">
        <f t="shared" si="10"/>
        <v>17.2</v>
      </c>
      <c r="BA28" s="45">
        <f t="shared" si="21"/>
        <v>6090</v>
      </c>
      <c r="BB28" s="45">
        <f t="shared" si="11"/>
        <v>9396</v>
      </c>
      <c r="BC28" s="45">
        <f t="shared" si="11"/>
        <v>1739.9999999999998</v>
      </c>
      <c r="BD28" s="45">
        <f t="shared" si="11"/>
        <v>1739.9999999999998</v>
      </c>
      <c r="BE28" s="44">
        <f t="shared" si="22"/>
        <v>0</v>
      </c>
      <c r="BF28" s="44">
        <f t="shared" si="12"/>
        <v>0</v>
      </c>
      <c r="BG28" s="44">
        <f t="shared" si="12"/>
        <v>0</v>
      </c>
      <c r="BH28" s="44">
        <f t="shared" si="12"/>
        <v>0</v>
      </c>
      <c r="BI28" s="4"/>
      <c r="BJ28" s="4"/>
      <c r="BK28" s="4"/>
      <c r="BL28" s="4"/>
    </row>
    <row r="29" spans="1:66" x14ac:dyDescent="0.25">
      <c r="A29" s="170" t="s">
        <v>93</v>
      </c>
      <c r="B29" s="7"/>
      <c r="C29" s="7"/>
      <c r="D29" s="7"/>
      <c r="E29" s="7"/>
      <c r="F29" s="34"/>
      <c r="G29" s="6"/>
      <c r="H29" s="7"/>
      <c r="I29" s="8"/>
      <c r="J29" s="8"/>
      <c r="K29" s="8"/>
      <c r="L29" s="7"/>
      <c r="M29" s="7"/>
      <c r="N29" s="49"/>
      <c r="O29" s="80"/>
      <c r="P29" s="80"/>
      <c r="Q29" s="43">
        <f t="shared" si="23"/>
        <v>0</v>
      </c>
      <c r="R29" s="43">
        <f t="shared" si="2"/>
        <v>0</v>
      </c>
      <c r="S29" s="43">
        <f t="shared" si="2"/>
        <v>0</v>
      </c>
      <c r="T29" s="43">
        <f t="shared" si="2"/>
        <v>0</v>
      </c>
      <c r="U29" s="43">
        <f t="shared" si="13"/>
        <v>0</v>
      </c>
      <c r="V29" s="43">
        <f t="shared" si="3"/>
        <v>0</v>
      </c>
      <c r="W29" s="43">
        <f t="shared" si="3"/>
        <v>0</v>
      </c>
      <c r="X29" s="43">
        <f t="shared" si="3"/>
        <v>0</v>
      </c>
      <c r="Y29" s="43">
        <f t="shared" si="14"/>
        <v>0</v>
      </c>
      <c r="Z29" s="43">
        <f t="shared" si="4"/>
        <v>0</v>
      </c>
      <c r="AA29" s="43">
        <f t="shared" si="4"/>
        <v>0</v>
      </c>
      <c r="AB29" s="43">
        <f t="shared" si="4"/>
        <v>0</v>
      </c>
      <c r="AC29" s="43">
        <f t="shared" si="15"/>
        <v>0</v>
      </c>
      <c r="AD29" s="43">
        <f t="shared" si="5"/>
        <v>0</v>
      </c>
      <c r="AE29" s="43">
        <f t="shared" si="5"/>
        <v>0</v>
      </c>
      <c r="AF29" s="43">
        <f t="shared" si="5"/>
        <v>0</v>
      </c>
      <c r="AG29" s="43">
        <f t="shared" si="16"/>
        <v>0</v>
      </c>
      <c r="AH29" s="43">
        <f t="shared" si="6"/>
        <v>0</v>
      </c>
      <c r="AI29" s="43">
        <f t="shared" si="6"/>
        <v>0</v>
      </c>
      <c r="AJ29" s="43">
        <f t="shared" si="6"/>
        <v>0</v>
      </c>
      <c r="AK29" s="43">
        <f t="shared" si="17"/>
        <v>0</v>
      </c>
      <c r="AL29" s="43">
        <f t="shared" si="7"/>
        <v>0</v>
      </c>
      <c r="AM29" s="43">
        <f t="shared" si="7"/>
        <v>0</v>
      </c>
      <c r="AN29" s="43">
        <f t="shared" si="7"/>
        <v>0</v>
      </c>
      <c r="AO29" s="43">
        <f t="shared" si="18"/>
        <v>0</v>
      </c>
      <c r="AP29" s="43">
        <f t="shared" si="8"/>
        <v>0</v>
      </c>
      <c r="AQ29" s="43">
        <f t="shared" si="8"/>
        <v>0</v>
      </c>
      <c r="AR29" s="43">
        <f t="shared" si="8"/>
        <v>0</v>
      </c>
      <c r="AS29" s="43">
        <f t="shared" si="19"/>
        <v>0</v>
      </c>
      <c r="AT29" s="43">
        <f t="shared" si="9"/>
        <v>0</v>
      </c>
      <c r="AU29" s="43">
        <f t="shared" si="9"/>
        <v>0</v>
      </c>
      <c r="AV29" s="43">
        <f t="shared" si="9"/>
        <v>0</v>
      </c>
      <c r="AW29" s="45">
        <f t="shared" si="20"/>
        <v>0</v>
      </c>
      <c r="AX29" s="45">
        <f t="shared" si="10"/>
        <v>0</v>
      </c>
      <c r="AY29" s="45">
        <f t="shared" si="10"/>
        <v>0</v>
      </c>
      <c r="AZ29" s="45">
        <f t="shared" si="10"/>
        <v>0</v>
      </c>
      <c r="BA29" s="45">
        <f t="shared" si="21"/>
        <v>0</v>
      </c>
      <c r="BB29" s="45">
        <f t="shared" si="11"/>
        <v>0</v>
      </c>
      <c r="BC29" s="45">
        <f t="shared" si="11"/>
        <v>0</v>
      </c>
      <c r="BD29" s="45">
        <f t="shared" si="11"/>
        <v>0</v>
      </c>
      <c r="BE29" s="44">
        <f t="shared" si="22"/>
        <v>0</v>
      </c>
      <c r="BF29" s="44">
        <f t="shared" si="12"/>
        <v>0</v>
      </c>
      <c r="BG29" s="44">
        <f t="shared" si="12"/>
        <v>0</v>
      </c>
      <c r="BH29" s="44">
        <f t="shared" si="12"/>
        <v>0</v>
      </c>
      <c r="BI29" s="4"/>
      <c r="BJ29" s="4"/>
      <c r="BK29" s="4"/>
      <c r="BL29" s="4"/>
    </row>
    <row r="30" spans="1:66" x14ac:dyDescent="0.25">
      <c r="A30" s="170" t="s">
        <v>93</v>
      </c>
      <c r="B30" s="7"/>
      <c r="C30" s="7"/>
      <c r="D30" s="7"/>
      <c r="E30" s="7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23"/>
        <v>0</v>
      </c>
      <c r="R30" s="43">
        <f t="shared" si="2"/>
        <v>0</v>
      </c>
      <c r="S30" s="43">
        <f t="shared" si="2"/>
        <v>0</v>
      </c>
      <c r="T30" s="43">
        <f t="shared" si="2"/>
        <v>0</v>
      </c>
      <c r="U30" s="43">
        <f t="shared" si="13"/>
        <v>0</v>
      </c>
      <c r="V30" s="43">
        <f t="shared" si="3"/>
        <v>0</v>
      </c>
      <c r="W30" s="43">
        <f t="shared" si="3"/>
        <v>0</v>
      </c>
      <c r="X30" s="43">
        <f t="shared" si="3"/>
        <v>0</v>
      </c>
      <c r="Y30" s="43">
        <f t="shared" si="14"/>
        <v>0</v>
      </c>
      <c r="Z30" s="43">
        <f t="shared" si="4"/>
        <v>0</v>
      </c>
      <c r="AA30" s="43">
        <f t="shared" si="4"/>
        <v>0</v>
      </c>
      <c r="AB30" s="43">
        <f t="shared" si="4"/>
        <v>0</v>
      </c>
      <c r="AC30" s="43">
        <f t="shared" si="15"/>
        <v>0</v>
      </c>
      <c r="AD30" s="43">
        <f t="shared" si="5"/>
        <v>0</v>
      </c>
      <c r="AE30" s="43">
        <f t="shared" si="5"/>
        <v>0</v>
      </c>
      <c r="AF30" s="43">
        <f t="shared" si="5"/>
        <v>0</v>
      </c>
      <c r="AG30" s="43">
        <f t="shared" si="16"/>
        <v>0</v>
      </c>
      <c r="AH30" s="43">
        <f t="shared" si="6"/>
        <v>0</v>
      </c>
      <c r="AI30" s="43">
        <f t="shared" si="6"/>
        <v>0</v>
      </c>
      <c r="AJ30" s="43">
        <f t="shared" si="6"/>
        <v>0</v>
      </c>
      <c r="AK30" s="43">
        <f t="shared" si="17"/>
        <v>0</v>
      </c>
      <c r="AL30" s="43">
        <f t="shared" si="7"/>
        <v>0</v>
      </c>
      <c r="AM30" s="43">
        <f t="shared" si="7"/>
        <v>0</v>
      </c>
      <c r="AN30" s="43">
        <f t="shared" si="7"/>
        <v>0</v>
      </c>
      <c r="AO30" s="43">
        <f t="shared" si="18"/>
        <v>0</v>
      </c>
      <c r="AP30" s="43">
        <f t="shared" si="8"/>
        <v>0</v>
      </c>
      <c r="AQ30" s="43">
        <f t="shared" si="8"/>
        <v>0</v>
      </c>
      <c r="AR30" s="43">
        <f t="shared" si="8"/>
        <v>0</v>
      </c>
      <c r="AS30" s="43">
        <f t="shared" si="19"/>
        <v>0</v>
      </c>
      <c r="AT30" s="43">
        <f t="shared" si="9"/>
        <v>0</v>
      </c>
      <c r="AU30" s="43">
        <f t="shared" si="9"/>
        <v>0</v>
      </c>
      <c r="AV30" s="43">
        <f t="shared" si="9"/>
        <v>0</v>
      </c>
      <c r="AW30" s="45">
        <f t="shared" si="20"/>
        <v>0</v>
      </c>
      <c r="AX30" s="45">
        <f t="shared" si="10"/>
        <v>0</v>
      </c>
      <c r="AY30" s="45">
        <f t="shared" si="10"/>
        <v>0</v>
      </c>
      <c r="AZ30" s="45">
        <f t="shared" si="10"/>
        <v>0</v>
      </c>
      <c r="BA30" s="45">
        <f t="shared" si="21"/>
        <v>0</v>
      </c>
      <c r="BB30" s="45">
        <f t="shared" si="11"/>
        <v>0</v>
      </c>
      <c r="BC30" s="45">
        <f t="shared" si="11"/>
        <v>0</v>
      </c>
      <c r="BD30" s="45">
        <f t="shared" si="11"/>
        <v>0</v>
      </c>
      <c r="BE30" s="44">
        <f t="shared" si="22"/>
        <v>0</v>
      </c>
      <c r="BF30" s="44">
        <f t="shared" si="12"/>
        <v>0</v>
      </c>
      <c r="BG30" s="44">
        <f t="shared" si="12"/>
        <v>0</v>
      </c>
      <c r="BH30" s="44">
        <f t="shared" si="12"/>
        <v>0</v>
      </c>
    </row>
    <row r="31" spans="1:66" x14ac:dyDescent="0.25">
      <c r="A31" s="170" t="s">
        <v>54</v>
      </c>
      <c r="B31" s="7">
        <v>1</v>
      </c>
      <c r="C31" s="7">
        <v>1</v>
      </c>
      <c r="D31" s="7">
        <v>1</v>
      </c>
      <c r="E31" s="7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23"/>
        <v>0.98</v>
      </c>
      <c r="R31" s="43">
        <f t="shared" si="2"/>
        <v>0.98</v>
      </c>
      <c r="S31" s="43">
        <f t="shared" si="2"/>
        <v>0.98</v>
      </c>
      <c r="T31" s="43">
        <f t="shared" si="2"/>
        <v>0.98</v>
      </c>
      <c r="U31" s="43">
        <f t="shared" si="13"/>
        <v>0</v>
      </c>
      <c r="V31" s="43">
        <f t="shared" si="3"/>
        <v>0</v>
      </c>
      <c r="W31" s="43">
        <f t="shared" si="3"/>
        <v>0</v>
      </c>
      <c r="X31" s="43">
        <f t="shared" si="3"/>
        <v>0</v>
      </c>
      <c r="Y31" s="43">
        <f t="shared" si="14"/>
        <v>0</v>
      </c>
      <c r="Z31" s="43">
        <f t="shared" si="4"/>
        <v>0</v>
      </c>
      <c r="AA31" s="43">
        <f t="shared" si="4"/>
        <v>0</v>
      </c>
      <c r="AB31" s="43">
        <f t="shared" si="4"/>
        <v>0</v>
      </c>
      <c r="AC31" s="43">
        <f t="shared" si="15"/>
        <v>0</v>
      </c>
      <c r="AD31" s="43">
        <f t="shared" si="5"/>
        <v>0</v>
      </c>
      <c r="AE31" s="43">
        <f t="shared" si="5"/>
        <v>0</v>
      </c>
      <c r="AF31" s="43">
        <f t="shared" si="5"/>
        <v>0</v>
      </c>
      <c r="AG31" s="43">
        <f t="shared" si="16"/>
        <v>0</v>
      </c>
      <c r="AH31" s="43">
        <f t="shared" si="6"/>
        <v>0</v>
      </c>
      <c r="AI31" s="43">
        <f t="shared" si="6"/>
        <v>0</v>
      </c>
      <c r="AJ31" s="43">
        <f t="shared" si="6"/>
        <v>0</v>
      </c>
      <c r="AK31" s="43">
        <f t="shared" si="17"/>
        <v>0</v>
      </c>
      <c r="AL31" s="43">
        <f t="shared" si="7"/>
        <v>0</v>
      </c>
      <c r="AM31" s="43">
        <f t="shared" si="7"/>
        <v>0</v>
      </c>
      <c r="AN31" s="43">
        <f t="shared" si="7"/>
        <v>0</v>
      </c>
      <c r="AO31" s="43">
        <f t="shared" si="18"/>
        <v>146.02000000000001</v>
      </c>
      <c r="AP31" s="43">
        <f t="shared" si="8"/>
        <v>146.02000000000001</v>
      </c>
      <c r="AQ31" s="43">
        <f t="shared" si="8"/>
        <v>146.02000000000001</v>
      </c>
      <c r="AR31" s="43">
        <f t="shared" si="8"/>
        <v>146.02000000000001</v>
      </c>
      <c r="AS31" s="43">
        <f t="shared" si="19"/>
        <v>64.97399999999999</v>
      </c>
      <c r="AT31" s="43">
        <f t="shared" si="9"/>
        <v>64.97399999999999</v>
      </c>
      <c r="AU31" s="43">
        <f t="shared" si="9"/>
        <v>64.97399999999999</v>
      </c>
      <c r="AV31" s="43">
        <f t="shared" si="9"/>
        <v>64.97399999999999</v>
      </c>
      <c r="AW31" s="45">
        <f t="shared" si="20"/>
        <v>6.5</v>
      </c>
      <c r="AX31" s="45">
        <f t="shared" si="10"/>
        <v>6.5</v>
      </c>
      <c r="AY31" s="45">
        <f t="shared" si="10"/>
        <v>6.5</v>
      </c>
      <c r="AZ31" s="45">
        <f t="shared" si="10"/>
        <v>6.5</v>
      </c>
      <c r="BA31" s="45">
        <f t="shared" si="21"/>
        <v>0</v>
      </c>
      <c r="BB31" s="45">
        <f t="shared" si="11"/>
        <v>0</v>
      </c>
      <c r="BC31" s="45">
        <f t="shared" si="11"/>
        <v>0</v>
      </c>
      <c r="BD31" s="45">
        <f t="shared" si="11"/>
        <v>0</v>
      </c>
      <c r="BE31" s="44">
        <f t="shared" si="22"/>
        <v>0</v>
      </c>
      <c r="BF31" s="44">
        <f t="shared" si="12"/>
        <v>0</v>
      </c>
      <c r="BG31" s="44">
        <f t="shared" si="12"/>
        <v>0</v>
      </c>
      <c r="BH31" s="44">
        <f t="shared" si="12"/>
        <v>0</v>
      </c>
      <c r="BI31" s="4"/>
      <c r="BJ31" s="4"/>
      <c r="BK31" s="4"/>
      <c r="BL31" s="4"/>
    </row>
    <row r="32" spans="1:66" x14ac:dyDescent="0.25">
      <c r="A32" s="170" t="s">
        <v>93</v>
      </c>
      <c r="B32" s="7"/>
      <c r="C32" s="7"/>
      <c r="D32" s="7"/>
      <c r="E32" s="7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23"/>
        <v>0</v>
      </c>
      <c r="R32" s="43">
        <f t="shared" si="2"/>
        <v>0</v>
      </c>
      <c r="S32" s="43">
        <f t="shared" si="2"/>
        <v>0</v>
      </c>
      <c r="T32" s="43">
        <f t="shared" si="2"/>
        <v>0</v>
      </c>
      <c r="U32" s="43">
        <f t="shared" si="13"/>
        <v>0</v>
      </c>
      <c r="V32" s="43">
        <f t="shared" si="3"/>
        <v>0</v>
      </c>
      <c r="W32" s="43">
        <f t="shared" si="3"/>
        <v>0</v>
      </c>
      <c r="X32" s="43">
        <f t="shared" si="3"/>
        <v>0</v>
      </c>
      <c r="Y32" s="43">
        <f t="shared" si="14"/>
        <v>0</v>
      </c>
      <c r="Z32" s="43">
        <f t="shared" si="4"/>
        <v>0</v>
      </c>
      <c r="AA32" s="43">
        <f t="shared" si="4"/>
        <v>0</v>
      </c>
      <c r="AB32" s="43">
        <f t="shared" si="4"/>
        <v>0</v>
      </c>
      <c r="AC32" s="43">
        <f t="shared" si="15"/>
        <v>0</v>
      </c>
      <c r="AD32" s="43">
        <f t="shared" si="5"/>
        <v>0</v>
      </c>
      <c r="AE32" s="43">
        <f t="shared" si="5"/>
        <v>0</v>
      </c>
      <c r="AF32" s="43">
        <f t="shared" si="5"/>
        <v>0</v>
      </c>
      <c r="AG32" s="43">
        <f t="shared" si="16"/>
        <v>0</v>
      </c>
      <c r="AH32" s="43">
        <f t="shared" si="6"/>
        <v>0</v>
      </c>
      <c r="AI32" s="43">
        <f t="shared" si="6"/>
        <v>0</v>
      </c>
      <c r="AJ32" s="43">
        <f t="shared" si="6"/>
        <v>0</v>
      </c>
      <c r="AK32" s="43">
        <f t="shared" si="17"/>
        <v>0</v>
      </c>
      <c r="AL32" s="43">
        <f t="shared" si="7"/>
        <v>0</v>
      </c>
      <c r="AM32" s="43">
        <f t="shared" si="7"/>
        <v>0</v>
      </c>
      <c r="AN32" s="43">
        <f t="shared" si="7"/>
        <v>0</v>
      </c>
      <c r="AO32" s="43">
        <f t="shared" si="18"/>
        <v>0</v>
      </c>
      <c r="AP32" s="43">
        <f t="shared" si="8"/>
        <v>0</v>
      </c>
      <c r="AQ32" s="43">
        <f t="shared" si="8"/>
        <v>0</v>
      </c>
      <c r="AR32" s="43">
        <f t="shared" si="8"/>
        <v>0</v>
      </c>
      <c r="AS32" s="43">
        <f t="shared" si="19"/>
        <v>0</v>
      </c>
      <c r="AT32" s="43">
        <f t="shared" si="9"/>
        <v>0</v>
      </c>
      <c r="AU32" s="43">
        <f t="shared" si="9"/>
        <v>0</v>
      </c>
      <c r="AV32" s="43">
        <f t="shared" si="9"/>
        <v>0</v>
      </c>
      <c r="AW32" s="45">
        <f t="shared" si="20"/>
        <v>0</v>
      </c>
      <c r="AX32" s="45">
        <f t="shared" si="10"/>
        <v>0</v>
      </c>
      <c r="AY32" s="45">
        <f t="shared" si="10"/>
        <v>0</v>
      </c>
      <c r="AZ32" s="45">
        <f t="shared" si="10"/>
        <v>0</v>
      </c>
      <c r="BA32" s="45">
        <f t="shared" si="21"/>
        <v>0</v>
      </c>
      <c r="BB32" s="45">
        <f t="shared" si="11"/>
        <v>0</v>
      </c>
      <c r="BC32" s="45">
        <f t="shared" si="11"/>
        <v>0</v>
      </c>
      <c r="BD32" s="45">
        <f t="shared" si="11"/>
        <v>0</v>
      </c>
      <c r="BE32" s="44">
        <f t="shared" si="22"/>
        <v>0</v>
      </c>
      <c r="BF32" s="44">
        <f t="shared" si="12"/>
        <v>0</v>
      </c>
      <c r="BG32" s="44">
        <f t="shared" si="12"/>
        <v>0</v>
      </c>
      <c r="BH32" s="44">
        <f t="shared" si="12"/>
        <v>0</v>
      </c>
      <c r="BI32" s="4"/>
      <c r="BJ32" s="4"/>
      <c r="BK32" s="4"/>
      <c r="BL32" s="4"/>
    </row>
    <row r="33" spans="1:64" x14ac:dyDescent="0.25">
      <c r="A33" s="171" t="s">
        <v>58</v>
      </c>
      <c r="B33" s="172">
        <f>SUM(B22:B31)</f>
        <v>116</v>
      </c>
      <c r="C33" s="172">
        <f>SUM(C22:C31)</f>
        <v>135</v>
      </c>
      <c r="D33" s="172">
        <f>SUM(D22:D31)</f>
        <v>96</v>
      </c>
      <c r="E33" s="172">
        <f>SUM(E22:E31)</f>
        <v>11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24">SUM(Q22:Q32)</f>
        <v>45.029999999999994</v>
      </c>
      <c r="R33" s="82">
        <f t="shared" si="24"/>
        <v>61.559999999999995</v>
      </c>
      <c r="S33" s="82">
        <f t="shared" si="24"/>
        <v>41.01</v>
      </c>
      <c r="T33" s="82">
        <f t="shared" si="24"/>
        <v>9.68</v>
      </c>
      <c r="U33" s="82">
        <f t="shared" si="24"/>
        <v>13.600000000000001</v>
      </c>
      <c r="V33" s="82">
        <f t="shared" si="24"/>
        <v>13.600000000000001</v>
      </c>
      <c r="W33" s="82">
        <f t="shared" si="24"/>
        <v>13.93</v>
      </c>
      <c r="X33" s="82">
        <f t="shared" si="24"/>
        <v>0</v>
      </c>
      <c r="Y33" s="82">
        <f t="shared" si="24"/>
        <v>529.13</v>
      </c>
      <c r="Z33" s="82">
        <f t="shared" si="24"/>
        <v>744.02</v>
      </c>
      <c r="AA33" s="82">
        <f t="shared" si="24"/>
        <v>479.29399999999998</v>
      </c>
      <c r="AB33" s="82">
        <f t="shared" si="24"/>
        <v>113.1</v>
      </c>
      <c r="AC33" s="82">
        <f t="shared" si="24"/>
        <v>4578.8</v>
      </c>
      <c r="AD33" s="82">
        <f t="shared" si="24"/>
        <v>6562.4</v>
      </c>
      <c r="AE33" s="82">
        <f t="shared" si="24"/>
        <v>3779.96</v>
      </c>
      <c r="AF33" s="82">
        <f t="shared" si="24"/>
        <v>1044</v>
      </c>
      <c r="AG33" s="82">
        <f t="shared" si="24"/>
        <v>8184.4</v>
      </c>
      <c r="AH33" s="82">
        <f t="shared" si="24"/>
        <v>11490.4</v>
      </c>
      <c r="AI33" s="82">
        <f t="shared" si="24"/>
        <v>6505.66</v>
      </c>
      <c r="AJ33" s="82">
        <f t="shared" si="24"/>
        <v>1739.9999999999998</v>
      </c>
      <c r="AK33" s="82">
        <f t="shared" si="24"/>
        <v>17214.599999999999</v>
      </c>
      <c r="AL33" s="82">
        <f t="shared" si="24"/>
        <v>22041.360000000001</v>
      </c>
      <c r="AM33" s="82">
        <f t="shared" si="24"/>
        <v>14810.039999999999</v>
      </c>
      <c r="AN33" s="82">
        <f t="shared" si="24"/>
        <v>2540.3999999999996</v>
      </c>
      <c r="AO33" s="82">
        <f t="shared" si="24"/>
        <v>631.89499999999998</v>
      </c>
      <c r="AP33" s="82">
        <f t="shared" si="24"/>
        <v>855.05</v>
      </c>
      <c r="AQ33" s="82">
        <f t="shared" si="24"/>
        <v>470.41099999999994</v>
      </c>
      <c r="AR33" s="82">
        <f t="shared" si="24"/>
        <v>263.47000000000003</v>
      </c>
      <c r="AS33" s="82">
        <f t="shared" si="24"/>
        <v>310.11399999999998</v>
      </c>
      <c r="AT33" s="82">
        <f t="shared" si="24"/>
        <v>422.51799999999997</v>
      </c>
      <c r="AU33" s="82">
        <f t="shared" si="24"/>
        <v>251.18199999999996</v>
      </c>
      <c r="AV33" s="82">
        <f t="shared" si="24"/>
        <v>124.13399999999999</v>
      </c>
      <c r="AW33" s="83">
        <f t="shared" si="24"/>
        <v>80.3</v>
      </c>
      <c r="AX33" s="83">
        <f t="shared" si="24"/>
        <v>112.97999999999999</v>
      </c>
      <c r="AY33" s="83">
        <f t="shared" si="24"/>
        <v>37.897999999999996</v>
      </c>
      <c r="AZ33" s="83">
        <f t="shared" si="24"/>
        <v>23.7</v>
      </c>
      <c r="BA33" s="84">
        <f t="shared" si="24"/>
        <v>6090</v>
      </c>
      <c r="BB33" s="84">
        <f t="shared" si="24"/>
        <v>9396</v>
      </c>
      <c r="BC33" s="84">
        <f t="shared" si="24"/>
        <v>1739.9999999999998</v>
      </c>
      <c r="BD33" s="84">
        <f t="shared" si="24"/>
        <v>1739.9999999999998</v>
      </c>
      <c r="BE33" s="84">
        <f t="shared" si="24"/>
        <v>0</v>
      </c>
      <c r="BF33" s="84">
        <f t="shared" si="24"/>
        <v>0</v>
      </c>
      <c r="BG33" s="84">
        <f t="shared" si="24"/>
        <v>0</v>
      </c>
      <c r="BH33" s="84">
        <f t="shared" si="24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0.38818965517241372</v>
      </c>
      <c r="R34" s="65">
        <f>R33/C33</f>
        <v>0.45599999999999996</v>
      </c>
      <c r="S34" s="65">
        <f>S33/D33</f>
        <v>0.4271875</v>
      </c>
      <c r="T34" s="65">
        <f>T33/E33</f>
        <v>0.88</v>
      </c>
      <c r="U34" s="141">
        <f>U33/Q33</f>
        <v>0.30202087497224078</v>
      </c>
      <c r="V34" s="138">
        <f>V33/R33</f>
        <v>0.22092267706302798</v>
      </c>
      <c r="W34" s="138">
        <f>W33/S33</f>
        <v>0.33967325042672519</v>
      </c>
      <c r="X34" s="138">
        <f>X33/T33</f>
        <v>0</v>
      </c>
      <c r="Y34" s="140">
        <f>Y33/Q33</f>
        <v>11.750610703975129</v>
      </c>
      <c r="Z34" s="66">
        <f>Z33/R33</f>
        <v>12.086094866796621</v>
      </c>
      <c r="AA34" s="66">
        <f>AA33/S33</f>
        <v>11.687247012923677</v>
      </c>
      <c r="AB34" s="66">
        <f>AB33/T33</f>
        <v>11.683884297520661</v>
      </c>
      <c r="AC34" s="140">
        <f>AC33/Q33</f>
        <v>101.68332222962471</v>
      </c>
      <c r="AD34" s="66">
        <f>AD33/R33</f>
        <v>106.60168940870696</v>
      </c>
      <c r="AE34" s="66">
        <f>AE33/S33</f>
        <v>92.171665447451844</v>
      </c>
      <c r="AF34" s="66">
        <f>AF33/T33</f>
        <v>107.85123966942149</v>
      </c>
      <c r="AG34" s="140">
        <f>AG33/Q33</f>
        <v>181.7543859649123</v>
      </c>
      <c r="AH34" s="140">
        <f>AH33/R33</f>
        <v>186.65367121507472</v>
      </c>
      <c r="AI34" s="140">
        <f>AI33/S33</f>
        <v>158.63594245306024</v>
      </c>
      <c r="AJ34" s="140">
        <f>AJ33/T33</f>
        <v>179.75206611570246</v>
      </c>
      <c r="AK34" s="66">
        <f>AK33/Q33</f>
        <v>382.29180546302467</v>
      </c>
      <c r="AL34" s="66">
        <f>AL33/R33</f>
        <v>358.04678362573105</v>
      </c>
      <c r="AM34" s="66">
        <f>AM33/S33</f>
        <v>361.13240673006584</v>
      </c>
      <c r="AN34" s="66">
        <f>AN33/T33</f>
        <v>262.43801652892557</v>
      </c>
      <c r="AO34" s="66">
        <f>AO33/Q33</f>
        <v>14.032755940484122</v>
      </c>
      <c r="AP34" s="66">
        <f>AP33/R33</f>
        <v>13.889701104613385</v>
      </c>
      <c r="AQ34" s="66">
        <f>AQ33/S33</f>
        <v>11.470641306998292</v>
      </c>
      <c r="AR34" s="66">
        <f>AR33/T33</f>
        <v>27.217975206611573</v>
      </c>
      <c r="AS34" s="66">
        <f>AS33/Q33</f>
        <v>6.88683100155452</v>
      </c>
      <c r="AT34" s="66">
        <f>AT33/R33</f>
        <v>6.863515269655621</v>
      </c>
      <c r="AU34" s="66">
        <f>AU33/S33</f>
        <v>6.1248963667398186</v>
      </c>
      <c r="AV34" s="66">
        <f>AV33/T33</f>
        <v>12.823760330578512</v>
      </c>
      <c r="AW34" s="67">
        <f>AW33/Q33</f>
        <v>1.7832556073728627</v>
      </c>
      <c r="AX34" s="67">
        <f>AX33/R33</f>
        <v>1.8352826510721247</v>
      </c>
      <c r="AY34" s="67">
        <f>AY33/S33</f>
        <v>0.92411606925140199</v>
      </c>
      <c r="AZ34" s="67">
        <f>AZ33/T33</f>
        <v>2.4483471074380163</v>
      </c>
      <c r="BA34" s="66">
        <f>BA33/Q33</f>
        <v>135.24317121918722</v>
      </c>
      <c r="BB34" s="66">
        <f>BB33/R33</f>
        <v>152.63157894736844</v>
      </c>
      <c r="BC34" s="66">
        <f>BC33/S33</f>
        <v>42.428675932699335</v>
      </c>
      <c r="BD34" s="66">
        <f>BD33/T33</f>
        <v>179.75206611570246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98</v>
      </c>
      <c r="R35" s="27"/>
      <c r="S35" s="27"/>
      <c r="T35" s="27"/>
      <c r="U35" s="22" t="s">
        <v>61</v>
      </c>
      <c r="V35" s="22"/>
      <c r="W35" s="22"/>
      <c r="X35" s="22"/>
      <c r="Y35" s="81" t="s">
        <v>38</v>
      </c>
      <c r="Z35" s="81"/>
      <c r="AA35" s="81"/>
      <c r="AB35" s="81"/>
      <c r="AC35" s="139" t="s">
        <v>39</v>
      </c>
      <c r="AD35" s="139"/>
      <c r="AE35" s="139"/>
      <c r="AF35" s="139"/>
      <c r="AG35" s="68">
        <f t="shared" ref="AG35:AV35" si="25">AG34/1000</f>
        <v>0.18175438596491231</v>
      </c>
      <c r="AH35" s="68">
        <f t="shared" si="25"/>
        <v>0.18665367121507473</v>
      </c>
      <c r="AI35" s="68">
        <f t="shared" si="25"/>
        <v>0.15863594245306023</v>
      </c>
      <c r="AJ35" s="68">
        <f t="shared" si="25"/>
        <v>0.17975206611570246</v>
      </c>
      <c r="AK35" s="68">
        <f t="shared" si="25"/>
        <v>0.38229180546302466</v>
      </c>
      <c r="AL35" s="68">
        <f t="shared" si="25"/>
        <v>0.35804678362573106</v>
      </c>
      <c r="AM35" s="68">
        <f t="shared" si="25"/>
        <v>0.36113240673006586</v>
      </c>
      <c r="AN35" s="68">
        <f t="shared" si="25"/>
        <v>0.26243801652892557</v>
      </c>
      <c r="AO35" s="68">
        <f t="shared" si="25"/>
        <v>1.4032755940484122E-2</v>
      </c>
      <c r="AP35" s="68">
        <f t="shared" si="25"/>
        <v>1.3889701104613385E-2</v>
      </c>
      <c r="AQ35" s="68">
        <f t="shared" si="25"/>
        <v>1.1470641306998292E-2</v>
      </c>
      <c r="AR35" s="68">
        <f t="shared" si="25"/>
        <v>2.7217975206611573E-2</v>
      </c>
      <c r="AS35" s="68">
        <f t="shared" si="25"/>
        <v>6.8868310015545199E-3</v>
      </c>
      <c r="AT35" s="68">
        <f t="shared" si="25"/>
        <v>6.8635152696556213E-3</v>
      </c>
      <c r="AU35" s="68">
        <f t="shared" si="25"/>
        <v>6.1248963667398185E-3</v>
      </c>
      <c r="AV35" s="68">
        <f t="shared" si="25"/>
        <v>1.2823760330578513E-2</v>
      </c>
      <c r="AW35" s="23"/>
      <c r="AX35" s="23"/>
      <c r="AY35" s="23"/>
      <c r="AZ35" s="23"/>
      <c r="BA35" s="68">
        <f>BA34/1000</f>
        <v>0.13524317121918722</v>
      </c>
      <c r="BB35" s="68">
        <f>BB34/1000</f>
        <v>0.15263157894736845</v>
      </c>
      <c r="BC35" s="68">
        <f>BC34/1000</f>
        <v>4.2428675932699333E-2</v>
      </c>
      <c r="BD35" s="68">
        <f>BD34/1000</f>
        <v>0.17975206611570246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82</v>
      </c>
      <c r="U38" s="11" t="s">
        <v>83</v>
      </c>
      <c r="V38" s="11" t="s">
        <v>84</v>
      </c>
      <c r="W38" s="3"/>
      <c r="X38" s="13" t="s">
        <v>41</v>
      </c>
      <c r="Y38" s="46" t="s">
        <v>42</v>
      </c>
      <c r="Z38" s="46" t="s">
        <v>43</v>
      </c>
      <c r="AB38" s="4"/>
      <c r="AC38" s="4"/>
      <c r="AD38" s="4"/>
      <c r="AE38" s="4"/>
    </row>
    <row r="39" spans="1:64" x14ac:dyDescent="0.25">
      <c r="A39" s="1" t="s">
        <v>45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85</v>
      </c>
      <c r="Z39" s="69" t="s">
        <v>86</v>
      </c>
      <c r="AB39" s="4"/>
      <c r="AC39" s="4"/>
      <c r="AD39" s="4"/>
      <c r="AE39" s="4"/>
    </row>
    <row r="40" spans="1:64" x14ac:dyDescent="0.25">
      <c r="A40" s="1" t="s">
        <v>46</v>
      </c>
      <c r="B40" s="162">
        <f>F4</f>
        <v>38625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B43" s="131" t="s">
        <v>76</v>
      </c>
      <c r="C43" s="111" t="s">
        <v>77</v>
      </c>
      <c r="D43" s="131" t="s">
        <v>78</v>
      </c>
      <c r="E43" s="111" t="s">
        <v>79</v>
      </c>
      <c r="F43" s="132" t="s">
        <v>55</v>
      </c>
      <c r="K43" s="131" t="s">
        <v>76</v>
      </c>
      <c r="L43" s="111" t="s">
        <v>77</v>
      </c>
      <c r="M43" s="131" t="s">
        <v>78</v>
      </c>
      <c r="N43" s="111" t="s">
        <v>79</v>
      </c>
      <c r="O43" s="132" t="s">
        <v>55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106</v>
      </c>
      <c r="B45" s="122">
        <f>Q33/B10</f>
        <v>9.0059999999999985</v>
      </c>
      <c r="C45" s="122">
        <f>R33/C10</f>
        <v>12.311999999999999</v>
      </c>
      <c r="D45" s="122">
        <f>S33/D10</f>
        <v>8.202</v>
      </c>
      <c r="E45" s="122" t="e">
        <f>T33/E10</f>
        <v>#DIV/0!</v>
      </c>
      <c r="F45" s="147"/>
      <c r="G45" s="15"/>
      <c r="H45" s="15" t="s">
        <v>47</v>
      </c>
      <c r="K45" s="121">
        <f>AO33/AS33</f>
        <v>2.0376216488130172</v>
      </c>
      <c r="L45" s="121">
        <f>AP33/AT33</f>
        <v>2.0237007654111778</v>
      </c>
      <c r="M45" s="121">
        <f>AQ33/AU33</f>
        <v>1.8727894514734338</v>
      </c>
      <c r="N45" s="121">
        <f>AR33/AV33</f>
        <v>2.1224644335959533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107</v>
      </c>
      <c r="B46" s="124">
        <f>B45/B11</f>
        <v>2.5731428571428568E-2</v>
      </c>
      <c r="C46" s="124">
        <f>C45/C11</f>
        <v>3.5177142857142858E-2</v>
      </c>
      <c r="D46" s="124">
        <f>D45/D11</f>
        <v>2.3434285714285713E-2</v>
      </c>
      <c r="E46" s="124" t="e">
        <f>E45/E11</f>
        <v>#DIV/0!</v>
      </c>
      <c r="F46" s="148" t="s">
        <v>125</v>
      </c>
      <c r="G46" s="15"/>
      <c r="H46" s="123" t="s">
        <v>122</v>
      </c>
      <c r="K46" s="5">
        <f>AO33/B10-W15</f>
        <v>93.378999999999991</v>
      </c>
      <c r="L46" s="5">
        <f>AP33/C10-W16</f>
        <v>138.01</v>
      </c>
      <c r="M46" s="5">
        <f>AQ33/D10-X17</f>
        <v>74.082199999999986</v>
      </c>
      <c r="N46" s="5" t="e">
        <f>AR33/E10-W18</f>
        <v>#DIV/0!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108</v>
      </c>
      <c r="B47" s="122">
        <f>U33/B10</f>
        <v>2.72</v>
      </c>
      <c r="C47" s="122">
        <f>V33/C10</f>
        <v>2.72</v>
      </c>
      <c r="D47" s="122">
        <f>W33/D10</f>
        <v>2.786</v>
      </c>
      <c r="E47" s="122" t="e">
        <f>X33/E10</f>
        <v>#DIV/0!</v>
      </c>
      <c r="F47" s="149"/>
      <c r="G47" s="15"/>
      <c r="H47" s="123" t="s">
        <v>121</v>
      </c>
      <c r="K47" s="5">
        <f>AS33/B10-X15</f>
        <v>42.022799999999997</v>
      </c>
      <c r="L47" s="5">
        <f>AT33/C10-X16</f>
        <v>64.503599999999992</v>
      </c>
      <c r="M47" s="5">
        <f>AU33/D10-X17</f>
        <v>30.236399999999989</v>
      </c>
      <c r="N47" s="5" t="e">
        <f>AV33/E10-X18</f>
        <v>#DIV/0!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109</v>
      </c>
      <c r="B48" s="122">
        <f>B45-B47</f>
        <v>6.2859999999999978</v>
      </c>
      <c r="C48" s="122">
        <f>C45-C47</f>
        <v>9.5919999999999987</v>
      </c>
      <c r="D48" s="122">
        <f>D45-D47</f>
        <v>5.4160000000000004</v>
      </c>
      <c r="E48" s="122" t="e">
        <f>E45-E47</f>
        <v>#DIV/0!</v>
      </c>
      <c r="F48" s="148"/>
      <c r="G48" s="15"/>
      <c r="H48" s="15" t="s">
        <v>56</v>
      </c>
      <c r="K48" s="143">
        <f>AO33/Q33/1000</f>
        <v>1.4032755940484122E-2</v>
      </c>
      <c r="L48" s="143">
        <f>AP33/R33/1000</f>
        <v>1.3889701104613385E-2</v>
      </c>
      <c r="M48" s="143">
        <f>AQ33/S33/1000</f>
        <v>1.1470641306998292E-2</v>
      </c>
      <c r="N48" s="143">
        <f>AR33/T33/1000</f>
        <v>2.7217975206611573E-2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111</v>
      </c>
      <c r="B49" s="125">
        <f>B47/B45</f>
        <v>0.30202087497224078</v>
      </c>
      <c r="C49" s="125">
        <f>C47/C45</f>
        <v>0.22092267706302796</v>
      </c>
      <c r="D49" s="125">
        <f>D47/D45</f>
        <v>0.33967325042672519</v>
      </c>
      <c r="E49" s="125" t="e">
        <f>E47/E45</f>
        <v>#DIV/0!</v>
      </c>
      <c r="F49" s="148" t="s">
        <v>113</v>
      </c>
      <c r="G49" s="15"/>
      <c r="H49" s="15" t="s">
        <v>57</v>
      </c>
      <c r="I49" s="15"/>
      <c r="J49" s="15"/>
      <c r="K49" s="143">
        <f>AS33/Q33/1000</f>
        <v>6.8868310015545199E-3</v>
      </c>
      <c r="L49" s="143">
        <f>AT33/R33/1000</f>
        <v>6.8635152696556213E-3</v>
      </c>
      <c r="M49" s="143">
        <f>AU33/S33/1000</f>
        <v>6.1248963667398185E-3</v>
      </c>
      <c r="N49" s="143">
        <f>AV33/T33/1000</f>
        <v>1.2823760330578513E-2</v>
      </c>
      <c r="O49" s="154" t="s">
        <v>116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110</v>
      </c>
      <c r="B50" s="110">
        <f>B48/B12</f>
        <v>4.1906666666666652</v>
      </c>
      <c r="C50" s="110">
        <f>C48/C12</f>
        <v>6.3946666666666658</v>
      </c>
      <c r="D50" s="110">
        <f>D48/D12</f>
        <v>3.6106666666666669</v>
      </c>
      <c r="E50" s="110" t="e">
        <f>E48/E12</f>
        <v>#DIV/0!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95</v>
      </c>
      <c r="B52" s="119">
        <f>Y33/B10/B12</f>
        <v>70.550666666666658</v>
      </c>
      <c r="C52" s="119">
        <f>Z33/C10/C12</f>
        <v>99.202666666666673</v>
      </c>
      <c r="D52" s="119">
        <f>AA33/D10/D12</f>
        <v>63.905866666666668</v>
      </c>
      <c r="E52" s="119" t="e">
        <f>AB33/E10/E12</f>
        <v>#DIV/0!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35</v>
      </c>
      <c r="B53" s="124">
        <f>AG35</f>
        <v>0.18175438596491231</v>
      </c>
      <c r="C53" s="124">
        <f>AH35</f>
        <v>0.18665367121507473</v>
      </c>
      <c r="D53" s="124">
        <f>AI35</f>
        <v>0.15863594245306023</v>
      </c>
      <c r="E53" s="124">
        <f>AJ35</f>
        <v>0.17975206611570246</v>
      </c>
      <c r="F53" s="152" t="s">
        <v>112</v>
      </c>
      <c r="G53" s="15"/>
      <c r="H53" s="130" t="s">
        <v>87</v>
      </c>
      <c r="K53" s="146">
        <f>AW33/Q33</f>
        <v>1.7832556073728627</v>
      </c>
      <c r="L53" s="146">
        <f>AX33/R33</f>
        <v>1.8352826510721247</v>
      </c>
      <c r="M53" s="146">
        <f>AY33/S33</f>
        <v>0.92411606925140199</v>
      </c>
      <c r="N53" s="146">
        <f>AZ33/T33</f>
        <v>2.4483471074380163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96</v>
      </c>
      <c r="B54" s="122">
        <f>AG33/Y33</f>
        <v>15.467654451647043</v>
      </c>
      <c r="C54" s="122">
        <f>AH33/Z33</f>
        <v>15.443670869062659</v>
      </c>
      <c r="D54" s="122">
        <f>AI33/AA33</f>
        <v>13.5734225757051</v>
      </c>
      <c r="E54" s="122">
        <f>AJ33/AB33</f>
        <v>15.384615384615383</v>
      </c>
      <c r="F54" s="153" t="s">
        <v>114</v>
      </c>
      <c r="G54" s="15"/>
      <c r="H54" s="130" t="s">
        <v>88</v>
      </c>
      <c r="K54" s="146">
        <f>AW33/B10</f>
        <v>16.059999999999999</v>
      </c>
      <c r="L54" s="146">
        <f>AX33/C10</f>
        <v>22.595999999999997</v>
      </c>
      <c r="M54" s="146">
        <f>AY33/D10</f>
        <v>7.5795999999999992</v>
      </c>
      <c r="N54" s="146" t="e">
        <f>AZ33/E10</f>
        <v>#DIV/0!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8.6534500028348429</v>
      </c>
      <c r="C55" s="122">
        <f>AD33/Z33</f>
        <v>8.8201930055643665</v>
      </c>
      <c r="D55" s="122">
        <f>AE33/AA33</f>
        <v>7.8865164178979921</v>
      </c>
      <c r="E55" s="122">
        <f>AF33/AB33</f>
        <v>9.2307692307692317</v>
      </c>
      <c r="F55" s="153" t="s">
        <v>115</v>
      </c>
      <c r="G55" s="15"/>
      <c r="H55" s="130" t="s">
        <v>89</v>
      </c>
      <c r="K55" s="146">
        <f>K54/B12</f>
        <v>10.706666666666665</v>
      </c>
      <c r="L55" s="146">
        <f>L54/C12</f>
        <v>15.063999999999998</v>
      </c>
      <c r="M55" s="146">
        <f>M54/D12</f>
        <v>5.0530666666666662</v>
      </c>
      <c r="N55" s="146" t="e">
        <f>N54/E12</f>
        <v>#DIV/0!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36</v>
      </c>
      <c r="B56" s="125">
        <f>AK35</f>
        <v>0.38229180546302466</v>
      </c>
      <c r="C56" s="125">
        <f>AL35</f>
        <v>0.35804678362573106</v>
      </c>
      <c r="D56" s="125">
        <f>AM35</f>
        <v>0.36113240673006586</v>
      </c>
      <c r="E56" s="125">
        <f>AN35</f>
        <v>0.26243801652892557</v>
      </c>
      <c r="F56" s="154" t="s">
        <v>113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99</v>
      </c>
      <c r="B57" s="124">
        <f>AK33/B10/B11/1000</f>
        <v>9.8369142857142843E-3</v>
      </c>
      <c r="C57" s="124">
        <f>AL33/C10/C11/1000</f>
        <v>1.2595062857142857E-2</v>
      </c>
      <c r="D57" s="124">
        <f>AM33/D10/D11/1000</f>
        <v>8.4628800000000007E-3</v>
      </c>
      <c r="E57" s="124" t="e">
        <f>AN33/E10/E11/1000</f>
        <v>#DIV/0!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11.750610703975129</v>
      </c>
      <c r="C58" s="145">
        <f>Z33/R33</f>
        <v>12.086094866796621</v>
      </c>
      <c r="D58" s="145">
        <f>AA33/S33</f>
        <v>11.687247012923677</v>
      </c>
      <c r="E58" s="145">
        <f>AB33/T33</f>
        <v>11.683884297520661</v>
      </c>
      <c r="F58" s="154"/>
      <c r="G58" s="15"/>
      <c r="H58" s="127" t="s">
        <v>53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97</v>
      </c>
      <c r="I59" s="15"/>
      <c r="J59" s="15"/>
      <c r="K59" s="128">
        <f>((B13-B11)*0.0256)/(AG33/1000/6.25/B10*B14)</f>
        <v>0.14662039978495678</v>
      </c>
      <c r="L59" s="128">
        <f>((C13-C11)*0.0256)/(AH33/1000/6.25/C10*C14)</f>
        <v>0.10443500661421709</v>
      </c>
      <c r="M59" s="128">
        <f>((D13-D11)*0.0256)/(AI33/1000/6.25/D10*D14)</f>
        <v>0.18445476707974293</v>
      </c>
      <c r="N59" s="128" t="e">
        <f>((E13-E11)*0.0256)/(AJ33/1000/6.25/E10*E14)</f>
        <v>#DIV/0!</v>
      </c>
      <c r="O59" s="157" t="s">
        <v>117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105</v>
      </c>
      <c r="K60" s="48">
        <f>BA35</f>
        <v>0.13524317121918722</v>
      </c>
      <c r="L60" s="48">
        <f>BB35</f>
        <v>0.15263157894736845</v>
      </c>
      <c r="M60" s="48">
        <f>BC35</f>
        <v>4.2428675932699333E-2</v>
      </c>
      <c r="N60" s="48">
        <f>BD35</f>
        <v>0.17975206611570246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1.0018962782611818</v>
      </c>
      <c r="C62" s="142">
        <f>Z33/C10/T16</f>
        <v>1.4087858729459386</v>
      </c>
      <c r="D62" s="142">
        <f>AA33/D10/T17</f>
        <v>0.90753288377698271</v>
      </c>
      <c r="E62" s="142" t="e">
        <f>AB33/E10/T18</f>
        <v>#DIV/0!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81</v>
      </c>
      <c r="B63" s="42">
        <f>AG33/B10/U15</f>
        <v>1.3961248133815471</v>
      </c>
      <c r="C63" s="42">
        <f>AH33/C10/U16</f>
        <v>1.9600743555641622</v>
      </c>
      <c r="D63" s="42">
        <f>AI33/D10/U17</f>
        <v>1.1097592191759684</v>
      </c>
      <c r="E63" s="42" t="e">
        <f>AJ33/E10/U18</f>
        <v>#DIV/0!</v>
      </c>
      <c r="F63" s="156">
        <v>1</v>
      </c>
      <c r="G63" s="15"/>
      <c r="H63" s="127" t="s">
        <v>62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1.333824515686068</v>
      </c>
      <c r="C64" s="123">
        <f>AD33/C10/V16</f>
        <v>1.9116558927531782</v>
      </c>
      <c r="D64" s="123">
        <f>AE33/D10/V17</f>
        <v>1.1011189211829975</v>
      </c>
      <c r="E64" s="123" t="e">
        <f>AF33/E10/V18</f>
        <v>#DIV/0!</v>
      </c>
      <c r="F64" s="156">
        <v>1</v>
      </c>
      <c r="G64" s="15"/>
      <c r="H64" s="15" t="s">
        <v>63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64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104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100</v>
      </c>
      <c r="B68" s="5">
        <f>Y33/B10-T5</f>
        <v>67.389428433209304</v>
      </c>
      <c r="C68" s="5">
        <f>Z33/C10-T6</f>
        <v>110.36742843320931</v>
      </c>
      <c r="D68" s="5">
        <f>AA33/D10-T7</f>
        <v>57.422228433209305</v>
      </c>
      <c r="E68" s="5" t="e">
        <f>AB33/E10-T8</f>
        <v>#DIV/0!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119</v>
      </c>
      <c r="B69" s="71">
        <f>((0.522*B68)/(6.28+0.0188*B11))/(1+(((0.522*B68)/(6.28+0.0188*B11))*0.3))</f>
        <v>1.5024560906352773</v>
      </c>
      <c r="C69" s="71">
        <f>((0.522*C68)/(6.28+0.0188*C11))/(1+(((0.522*C68)/(6.28+0.0188*C11))*0.3))</f>
        <v>1.9112486122756311</v>
      </c>
      <c r="D69" s="71">
        <f>((0.522*D68)/(6.28+0.0188*D11))/(1+(((0.522*D68)/(6.28+0.0188*D11))*0.3))</f>
        <v>1.3716805313112344</v>
      </c>
      <c r="E69" s="71" t="e">
        <f>((0.522*E68)/(6.28+0.0188*E11))/(1+(((0.522*E68)/(6.28+0.0188*E11))*0.3))</f>
        <v>#DIV/0!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118</v>
      </c>
      <c r="B70" s="162">
        <f>F4+((B13-B11)/B69)</f>
        <v>38824.673056583735</v>
      </c>
      <c r="C70" s="162">
        <f>G4+((C13-C11)/C69)</f>
        <v>156.96545079125238</v>
      </c>
      <c r="D70" s="162">
        <f>H4+((D13-D11)/D69)</f>
        <v>218.70981846860519</v>
      </c>
      <c r="E70" s="162" t="e">
        <f>I4+((E13-E11)/E69)</f>
        <v>#DIV/0!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F4:G4"/>
    <mergeCell ref="Q21:T21"/>
    <mergeCell ref="Y21:AB21"/>
    <mergeCell ref="F5:H5"/>
    <mergeCell ref="C8:D8"/>
    <mergeCell ref="E8:F8"/>
    <mergeCell ref="B20:E20"/>
    <mergeCell ref="G20:M20"/>
    <mergeCell ref="AO21:AR21"/>
    <mergeCell ref="AS21:AV21"/>
    <mergeCell ref="AC21:AF21"/>
    <mergeCell ref="U21:X21"/>
    <mergeCell ref="AG21:AJ21"/>
    <mergeCell ref="AK21:AN21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N85"/>
  <sheetViews>
    <sheetView zoomScale="75" zoomScaleNormal="80" workbookViewId="0">
      <selection activeCell="F4" sqref="F4:G4"/>
    </sheetView>
  </sheetViews>
  <sheetFormatPr defaultColWidth="9.109375" defaultRowHeight="15" x14ac:dyDescent="0.25"/>
  <cols>
    <col min="1" max="1" width="30.88671875" style="1" customWidth="1"/>
    <col min="2" max="5" width="9.44140625" style="2" customWidth="1"/>
    <col min="6" max="6" width="8.6640625" style="1" customWidth="1"/>
    <col min="7" max="7" width="5.88671875" style="1" customWidth="1"/>
    <col min="8" max="8" width="8.5546875" style="1" customWidth="1"/>
    <col min="9" max="9" width="6.109375" style="1" customWidth="1"/>
    <col min="10" max="10" width="7.88671875" style="1" customWidth="1"/>
    <col min="11" max="12" width="9.33203125" style="1" customWidth="1"/>
    <col min="13" max="13" width="9.44140625" style="1" customWidth="1"/>
    <col min="14" max="14" width="9.3320312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4.6640625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6640625" style="1" customWidth="1"/>
    <col min="28" max="29" width="6.5546875" style="1" customWidth="1"/>
    <col min="30" max="38" width="9.109375" style="1" customWidth="1"/>
    <col min="39" max="40" width="9.6640625" style="1" bestFit="1" customWidth="1"/>
    <col min="41" max="48" width="9.33203125" style="1" bestFit="1" customWidth="1"/>
    <col min="49" max="49" width="9.88671875" style="1" bestFit="1" customWidth="1"/>
    <col min="50" max="54" width="9.33203125" style="1" bestFit="1" customWidth="1"/>
    <col min="55" max="16384" width="9.109375" style="1"/>
  </cols>
  <sheetData>
    <row r="2" spans="1:31" ht="28.2" x14ac:dyDescent="0.4">
      <c r="A2" s="10" t="s">
        <v>7</v>
      </c>
      <c r="L2" s="99" t="s">
        <v>44</v>
      </c>
      <c r="M2" s="79"/>
      <c r="N2" s="79"/>
      <c r="Q2" s="93" t="s">
        <v>75</v>
      </c>
      <c r="R2" s="52"/>
      <c r="S2" s="22"/>
      <c r="T2" s="168" t="s">
        <v>123</v>
      </c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59</v>
      </c>
      <c r="N3" s="2"/>
      <c r="Q3" s="2"/>
      <c r="R3" s="22" t="s">
        <v>71</v>
      </c>
      <c r="S3" s="22" t="s">
        <v>23</v>
      </c>
      <c r="T3" s="22" t="s">
        <v>37</v>
      </c>
      <c r="U3" s="2" t="s">
        <v>81</v>
      </c>
      <c r="V3" s="22" t="s">
        <v>49</v>
      </c>
      <c r="W3" s="22" t="s">
        <v>50</v>
      </c>
      <c r="X3" s="22" t="s">
        <v>51</v>
      </c>
      <c r="AC3" s="4"/>
      <c r="AD3" s="4"/>
      <c r="AE3" s="4"/>
    </row>
    <row r="4" spans="1:31" ht="15.6" x14ac:dyDescent="0.3">
      <c r="A4" s="1" t="s">
        <v>8</v>
      </c>
      <c r="B4" s="169">
        <v>7</v>
      </c>
      <c r="C4" s="1"/>
      <c r="D4" s="1" t="s">
        <v>9</v>
      </c>
      <c r="E4" s="1"/>
      <c r="F4" s="182">
        <v>37917</v>
      </c>
      <c r="G4" s="183"/>
      <c r="H4" s="12"/>
      <c r="I4" s="16"/>
      <c r="L4" s="35" t="s">
        <v>136</v>
      </c>
      <c r="N4" s="16"/>
      <c r="O4" s="2"/>
      <c r="P4" s="2"/>
      <c r="Q4" s="163" t="s">
        <v>27</v>
      </c>
      <c r="R4" s="95"/>
      <c r="S4" s="164"/>
      <c r="T4" s="97">
        <f>R5*T5+R6*T6+R7*T7+R8*T8</f>
        <v>1553.162452340317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>
        <v>0</v>
      </c>
      <c r="C5" s="14"/>
      <c r="D5" s="1" t="s">
        <v>92</v>
      </c>
      <c r="E5" s="1"/>
      <c r="F5" s="185"/>
      <c r="G5" s="185"/>
      <c r="H5" s="183"/>
      <c r="I5" s="16"/>
      <c r="L5" s="37" t="s">
        <v>135</v>
      </c>
      <c r="N5" s="17"/>
      <c r="O5" s="2"/>
      <c r="P5" s="2"/>
      <c r="Q5" s="95" t="s">
        <v>76</v>
      </c>
      <c r="R5" s="164">
        <f>$B$10</f>
        <v>14</v>
      </c>
      <c r="S5" s="165">
        <f>$B$11</f>
        <v>150</v>
      </c>
      <c r="T5" s="59">
        <f>(($S5^0.75)*0.475)*1.05</f>
        <v>21.377226214684143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77</v>
      </c>
      <c r="R6" s="164">
        <f>$C$10</f>
        <v>10</v>
      </c>
      <c r="S6" s="164">
        <f>$C$11</f>
        <v>260</v>
      </c>
      <c r="T6" s="59">
        <f>(($S6^0.75)*0.475)*1.05</f>
        <v>32.293336624245534</v>
      </c>
      <c r="U6" s="59"/>
      <c r="V6" s="61"/>
      <c r="W6" s="60"/>
      <c r="X6" s="61"/>
      <c r="Y6" s="2"/>
      <c r="Z6" s="2" t="s">
        <v>101</v>
      </c>
      <c r="AA6" s="2" t="s">
        <v>102</v>
      </c>
      <c r="AB6" s="2" t="s">
        <v>103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78</v>
      </c>
      <c r="R7" s="61">
        <f>$D$10</f>
        <v>10</v>
      </c>
      <c r="S7" s="165">
        <f>$D$11</f>
        <v>350</v>
      </c>
      <c r="T7" s="59">
        <f>(($S7^0.75)*0.475)*1.05</f>
        <v>40.358400145130233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186"/>
      <c r="D8" s="187"/>
      <c r="E8" s="186"/>
      <c r="F8" s="188"/>
      <c r="G8" s="12"/>
      <c r="I8" s="16"/>
      <c r="J8" s="54"/>
      <c r="K8" s="12"/>
      <c r="L8" s="38"/>
      <c r="M8" s="19"/>
      <c r="N8" s="12"/>
      <c r="O8" s="12"/>
      <c r="Q8" s="166" t="s">
        <v>79</v>
      </c>
      <c r="R8" s="164">
        <f>$E$10</f>
        <v>10</v>
      </c>
      <c r="S8" s="167">
        <f>$E$11</f>
        <v>500</v>
      </c>
      <c r="T8" s="59">
        <f>(($S8^0.75)*0.475)*1.05</f>
        <v>52.736391764098144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68</v>
      </c>
      <c r="C9" s="100" t="s">
        <v>67</v>
      </c>
      <c r="D9" s="100" t="s">
        <v>69</v>
      </c>
      <c r="E9" s="100" t="s">
        <v>70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1492.5852373020414</v>
      </c>
      <c r="U9" s="97">
        <f>$R$10*U10+$R$11*U11+$R$12*U12+$R$13*U13</f>
        <v>34844.228063844159</v>
      </c>
      <c r="V9" s="97">
        <f>$R$10*V10+$R$11*V11+$R$12*V12+$R$13*V13</f>
        <v>20469.989721455175</v>
      </c>
      <c r="W9" s="97">
        <f>$R$10*W10+$R$11*W11+$R$12*W12+$R$13*W13</f>
        <v>1408</v>
      </c>
      <c r="X9" s="97">
        <f>$R$10*X10+$R$11*X11+$R$12*X12+$R$13*X13</f>
        <v>862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71</v>
      </c>
      <c r="B10" s="78">
        <v>14</v>
      </c>
      <c r="C10" s="78">
        <v>10</v>
      </c>
      <c r="D10" s="78">
        <v>10</v>
      </c>
      <c r="E10" s="78">
        <v>10</v>
      </c>
      <c r="F10" s="102">
        <f>SUM(B10:E10)</f>
        <v>44</v>
      </c>
      <c r="H10" s="85"/>
      <c r="O10" s="12"/>
      <c r="Q10" s="95" t="s">
        <v>76</v>
      </c>
      <c r="R10" s="164">
        <f>$B$10</f>
        <v>14</v>
      </c>
      <c r="S10" s="165">
        <f>$B$11</f>
        <v>150</v>
      </c>
      <c r="T10" s="60">
        <f>((B12*(6.28+0.0188*S10))/((1-0.3*B12)*0.435))*1.05</f>
        <v>27.08077468115258</v>
      </c>
      <c r="U10" s="59">
        <f>LOOKUP($S10,$T$39:$T$62,$U$39:$U$62)*(T10+T5)</f>
        <v>634.79981173546105</v>
      </c>
      <c r="V10" s="59">
        <f>LOOKUP($S10,$T$39:$T$62,$V$39:$V$62)*(T10+T5)</f>
        <v>351.32050649481619</v>
      </c>
      <c r="W10" s="59">
        <f>LOOKUP($S10,$X$40:$X$45,Y40:Y45)</f>
        <v>27</v>
      </c>
      <c r="X10" s="59">
        <f>LOOKUP($S10,$X$40:$X$45,Z40:Z45)</f>
        <v>13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150</v>
      </c>
      <c r="C11" s="78">
        <v>260</v>
      </c>
      <c r="D11" s="78">
        <v>350</v>
      </c>
      <c r="E11" s="78">
        <v>500</v>
      </c>
      <c r="F11" s="103">
        <f>(B10*B11+C11*C10+D11*D10+E10*E11)/(B10+C10+D10+E10)</f>
        <v>300</v>
      </c>
      <c r="H11" s="12"/>
      <c r="O11" s="12"/>
      <c r="Q11" s="166" t="s">
        <v>77</v>
      </c>
      <c r="R11" s="164">
        <f>$C$10</f>
        <v>10</v>
      </c>
      <c r="S11" s="164">
        <f>$C$11</f>
        <v>260</v>
      </c>
      <c r="T11" s="60">
        <f>((C12*(6.28+0.0188*S11))/((1-0.3*C12)*0.435))*1.05</f>
        <v>33.234955125177137</v>
      </c>
      <c r="U11" s="59">
        <f>LOOKUP($S11,$T$39:$T$62,$U$39:$U$62)*(T11+T6)</f>
        <v>760.12818429330287</v>
      </c>
      <c r="V11" s="59">
        <f>LOOKUP($S11,$T$39:$T$62,$V$39:$V$62)*(T11+T6)</f>
        <v>442.31596930860297</v>
      </c>
      <c r="W11" s="59">
        <f>LOOKUP($S11,$X$40:$X$45,Y40:Y45)</f>
        <v>30</v>
      </c>
      <c r="X11" s="59">
        <f>LOOKUP($S11,$X$40:$X$45,Z40:Z45)</f>
        <v>15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91</v>
      </c>
      <c r="B12" s="78">
        <v>0.9</v>
      </c>
      <c r="C12" s="105">
        <v>0.9</v>
      </c>
      <c r="D12" s="105">
        <v>0.9</v>
      </c>
      <c r="E12" s="78">
        <v>0.8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80</v>
      </c>
      <c r="R12" s="61">
        <f>$D$10</f>
        <v>10</v>
      </c>
      <c r="S12" s="165">
        <f>$D$11</f>
        <v>350</v>
      </c>
      <c r="T12" s="60">
        <f>((D12*(6.28+0.0188*S12))/((1-0.3*D12)*0.435))*1.05</f>
        <v>38.270193670288144</v>
      </c>
      <c r="U12" s="59">
        <f>LOOKUP($S12,$T$39:$T$62,$U$39:$U$62)*(T12+T7)</f>
        <v>872.77739135114405</v>
      </c>
      <c r="V12" s="59">
        <f>LOOKUP($S12,$T$39:$T$62,$V$39:$V$62)*(T12+T7)</f>
        <v>511.08585980021951</v>
      </c>
      <c r="W12" s="59">
        <f>LOOKUP($S12,$X$40:$X$45,Y40:Y45)</f>
        <v>33</v>
      </c>
      <c r="X12" s="59">
        <f>LOOKUP($S12,$X$40:$X$45,Z40:Z45)</f>
        <v>20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72</v>
      </c>
      <c r="B13" s="78">
        <v>550</v>
      </c>
      <c r="C13" s="105">
        <v>550</v>
      </c>
      <c r="D13" s="105">
        <v>550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79</v>
      </c>
      <c r="R13" s="164">
        <f>$E$10</f>
        <v>10</v>
      </c>
      <c r="S13" s="167">
        <f>$E$11</f>
        <v>500</v>
      </c>
      <c r="T13" s="60">
        <f>((E12*(6.28+0.0188*S13))/((1-0.3*E12)*0.435))*1.05</f>
        <v>39.840290381125236</v>
      </c>
      <c r="U13" s="59">
        <f>LOOKUP($S13,$T$39:$T$62,$U$39:$U$62)*(T13+T8)</f>
        <v>962.79749431032315</v>
      </c>
      <c r="V13" s="59">
        <f>LOOKUP($S13,$T$39:$T$62,$V$39:$V$62)*(T13+T8)</f>
        <v>601.74843394395191</v>
      </c>
      <c r="W13" s="59">
        <f>LOOKUP($S13,$X$40:$X$45,Y40:Y45)</f>
        <v>40</v>
      </c>
      <c r="X13" s="59">
        <f>LOOKUP($S13,$X$40:$X$45,Z40:Z45)</f>
        <v>33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73</v>
      </c>
      <c r="B14" s="53">
        <f>(B13-B11)/B12</f>
        <v>444.44444444444446</v>
      </c>
      <c r="C14" s="53">
        <f>(C13-C11)/C12</f>
        <v>322.22222222222223</v>
      </c>
      <c r="D14" s="53">
        <f>(D13-D11)/D12</f>
        <v>222.22222222222223</v>
      </c>
      <c r="E14" s="53">
        <f>(E13-E11)/E12</f>
        <v>125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8" si="0">T4+T9</f>
        <v>3045.7476896423586</v>
      </c>
      <c r="U14" s="63">
        <f t="shared" si="0"/>
        <v>34844.228063844159</v>
      </c>
      <c r="V14" s="63">
        <f t="shared" si="0"/>
        <v>20469.989721455175</v>
      </c>
      <c r="W14" s="63">
        <f>W13+W11+W9+W6+W7</f>
        <v>1478</v>
      </c>
      <c r="X14" s="64">
        <f>X13+X9</f>
        <v>895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74</v>
      </c>
      <c r="B15" s="161">
        <f>$F$4+B14</f>
        <v>38361.444444444445</v>
      </c>
      <c r="C15" s="161">
        <f>$F$4+C14</f>
        <v>38239.222222222219</v>
      </c>
      <c r="D15" s="161">
        <f>$F$4+D14</f>
        <v>38139.222222222219</v>
      </c>
      <c r="E15" s="161">
        <f>$F$4+E14</f>
        <v>38042</v>
      </c>
      <c r="H15" s="56"/>
      <c r="I15" s="15"/>
      <c r="J15" s="15"/>
      <c r="K15" s="15"/>
      <c r="L15" s="15"/>
      <c r="M15" s="15"/>
      <c r="N15" s="15"/>
      <c r="O15" s="20"/>
      <c r="Q15" s="95" t="s">
        <v>76</v>
      </c>
      <c r="R15" s="164">
        <f>$B$10</f>
        <v>14</v>
      </c>
      <c r="S15" s="165">
        <f>$B$11</f>
        <v>150</v>
      </c>
      <c r="T15" s="59">
        <f t="shared" si="0"/>
        <v>48.458000895836719</v>
      </c>
      <c r="U15" s="59">
        <f t="shared" si="0"/>
        <v>634.79981173546105</v>
      </c>
      <c r="V15" s="59">
        <f t="shared" si="0"/>
        <v>351.32050649481619</v>
      </c>
      <c r="W15" s="59">
        <f t="shared" ref="W15:X18" si="1">W5+W10</f>
        <v>27</v>
      </c>
      <c r="X15" s="59">
        <f t="shared" si="1"/>
        <v>13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77</v>
      </c>
      <c r="R16" s="164">
        <f>$C$10</f>
        <v>10</v>
      </c>
      <c r="S16" s="164">
        <f>$C$11</f>
        <v>260</v>
      </c>
      <c r="T16" s="59">
        <f t="shared" si="0"/>
        <v>65.528291749422664</v>
      </c>
      <c r="U16" s="59">
        <f t="shared" si="0"/>
        <v>760.12818429330287</v>
      </c>
      <c r="V16" s="59">
        <f t="shared" si="0"/>
        <v>442.31596930860297</v>
      </c>
      <c r="W16" s="59">
        <f t="shared" si="1"/>
        <v>30</v>
      </c>
      <c r="X16" s="59">
        <f t="shared" si="1"/>
        <v>15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80</v>
      </c>
      <c r="R17" s="61">
        <f>$D$10</f>
        <v>10</v>
      </c>
      <c r="S17" s="165">
        <f>$D$11</f>
        <v>350</v>
      </c>
      <c r="T17" s="59">
        <f t="shared" si="0"/>
        <v>78.628593815418384</v>
      </c>
      <c r="U17" s="59">
        <f t="shared" si="0"/>
        <v>872.77739135114405</v>
      </c>
      <c r="V17" s="59">
        <f t="shared" si="0"/>
        <v>511.08585980021951</v>
      </c>
      <c r="W17" s="59">
        <f t="shared" si="1"/>
        <v>33</v>
      </c>
      <c r="X17" s="59">
        <f t="shared" si="1"/>
        <v>20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79</v>
      </c>
      <c r="R18" s="164">
        <f>$E$10</f>
        <v>10</v>
      </c>
      <c r="S18" s="167">
        <f>$E$11</f>
        <v>500</v>
      </c>
      <c r="T18" s="59">
        <f t="shared" si="0"/>
        <v>92.576682145223373</v>
      </c>
      <c r="U18" s="59">
        <f t="shared" si="0"/>
        <v>962.79749431032315</v>
      </c>
      <c r="V18" s="59">
        <f t="shared" si="0"/>
        <v>601.74843394395191</v>
      </c>
      <c r="W18" s="59">
        <f t="shared" si="1"/>
        <v>40</v>
      </c>
      <c r="X18" s="59">
        <f t="shared" si="1"/>
        <v>33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191" t="s">
        <v>120</v>
      </c>
      <c r="C20" s="191"/>
      <c r="D20" s="191"/>
      <c r="E20" s="191"/>
      <c r="F20" s="2"/>
      <c r="G20" s="190" t="s">
        <v>94</v>
      </c>
      <c r="H20" s="190"/>
      <c r="I20" s="190"/>
      <c r="J20" s="190"/>
      <c r="K20" s="190"/>
      <c r="L20" s="190"/>
      <c r="M20" s="190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48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33</v>
      </c>
      <c r="K21" s="69" t="s">
        <v>34</v>
      </c>
      <c r="L21" s="69" t="s">
        <v>4</v>
      </c>
      <c r="M21" s="69" t="s">
        <v>5</v>
      </c>
      <c r="N21" s="69" t="s">
        <v>21</v>
      </c>
      <c r="O21" s="76" t="s">
        <v>60</v>
      </c>
      <c r="P21" s="76" t="s">
        <v>52</v>
      </c>
      <c r="Q21" s="184" t="s">
        <v>40</v>
      </c>
      <c r="R21" s="184"/>
      <c r="S21" s="184"/>
      <c r="T21" s="184"/>
      <c r="U21" s="179" t="s">
        <v>25</v>
      </c>
      <c r="V21" s="180"/>
      <c r="W21" s="180"/>
      <c r="X21" s="181"/>
      <c r="Y21" s="179" t="s">
        <v>37</v>
      </c>
      <c r="Z21" s="180"/>
      <c r="AA21" s="180"/>
      <c r="AB21" s="181"/>
      <c r="AC21" s="179" t="s">
        <v>1</v>
      </c>
      <c r="AD21" s="180"/>
      <c r="AE21" s="180"/>
      <c r="AF21" s="181"/>
      <c r="AG21" s="179" t="s">
        <v>33</v>
      </c>
      <c r="AH21" s="180"/>
      <c r="AI21" s="180"/>
      <c r="AJ21" s="180"/>
      <c r="AK21" s="179" t="s">
        <v>34</v>
      </c>
      <c r="AL21" s="180"/>
      <c r="AM21" s="180"/>
      <c r="AN21" s="180"/>
      <c r="AO21" s="179" t="s">
        <v>4</v>
      </c>
      <c r="AP21" s="180"/>
      <c r="AQ21" s="180"/>
      <c r="AR21" s="180"/>
      <c r="AS21" s="179" t="s">
        <v>5</v>
      </c>
      <c r="AT21" s="180"/>
      <c r="AU21" s="180"/>
      <c r="AV21" s="180"/>
      <c r="AW21" s="75" t="s">
        <v>65</v>
      </c>
      <c r="AX21" s="75"/>
      <c r="AY21" s="75"/>
      <c r="AZ21" s="75"/>
      <c r="BA21" s="77" t="s">
        <v>66</v>
      </c>
      <c r="BB21" s="77"/>
      <c r="BC21" s="77"/>
      <c r="BD21" s="77"/>
      <c r="BE21" s="2" t="s">
        <v>52</v>
      </c>
      <c r="BF21" s="2"/>
      <c r="BG21" s="2"/>
      <c r="BH21" s="2"/>
      <c r="BI21" s="1"/>
      <c r="BM21" s="1"/>
      <c r="BN21" s="1"/>
    </row>
    <row r="22" spans="1:66" x14ac:dyDescent="0.25">
      <c r="A22" s="114" t="s">
        <v>129</v>
      </c>
      <c r="B22" s="105">
        <v>80</v>
      </c>
      <c r="C22" s="105">
        <v>80</v>
      </c>
      <c r="D22" s="105">
        <v>41</v>
      </c>
      <c r="E22" s="105">
        <v>0</v>
      </c>
      <c r="F22" s="33">
        <v>0.17</v>
      </c>
      <c r="G22" s="6">
        <v>1</v>
      </c>
      <c r="H22" s="7">
        <v>9.8000000000000007</v>
      </c>
      <c r="I22" s="8">
        <v>68</v>
      </c>
      <c r="J22" s="8">
        <v>154</v>
      </c>
      <c r="K22" s="8">
        <v>612</v>
      </c>
      <c r="L22" s="7">
        <v>5.5</v>
      </c>
      <c r="M22" s="7">
        <v>2.8</v>
      </c>
      <c r="N22" s="49">
        <v>17</v>
      </c>
      <c r="O22" s="9">
        <v>0</v>
      </c>
      <c r="P22" s="9">
        <v>0</v>
      </c>
      <c r="Q22" s="43">
        <f t="shared" ref="Q22:Q32" si="2">B22*$F22</f>
        <v>13.600000000000001</v>
      </c>
      <c r="R22" s="43">
        <f t="shared" ref="R22:R32" si="3">C22*$F22</f>
        <v>13.600000000000001</v>
      </c>
      <c r="S22" s="43">
        <f t="shared" ref="S22:S32" si="4">D22*$F22</f>
        <v>6.9700000000000006</v>
      </c>
      <c r="T22" s="43">
        <f t="shared" ref="T22:T32" si="5">E22*$F22</f>
        <v>0</v>
      </c>
      <c r="U22" s="43">
        <f t="shared" ref="U22:U32" si="6">Q22*$G22</f>
        <v>13.600000000000001</v>
      </c>
      <c r="V22" s="43">
        <f t="shared" ref="V22:V32" si="7">R22*$G22</f>
        <v>13.600000000000001</v>
      </c>
      <c r="W22" s="43">
        <f t="shared" ref="W22:W32" si="8">S22*$G22</f>
        <v>6.9700000000000006</v>
      </c>
      <c r="X22" s="43">
        <f t="shared" ref="X22:X32" si="9">T22*$G22</f>
        <v>0</v>
      </c>
      <c r="Y22" s="43">
        <f t="shared" ref="Y22:Y32" si="10">$H22*Q22</f>
        <v>133.28000000000003</v>
      </c>
      <c r="Z22" s="43">
        <f t="shared" ref="Z22:Z32" si="11">$H22*R22</f>
        <v>133.28000000000003</v>
      </c>
      <c r="AA22" s="43">
        <f>$H22*S22</f>
        <v>68.306000000000012</v>
      </c>
      <c r="AB22" s="43">
        <f t="shared" ref="AB22:AB32" si="12">$H22*T22</f>
        <v>0</v>
      </c>
      <c r="AC22" s="43">
        <f t="shared" ref="AC22:AC32" si="13">Q22*$I22</f>
        <v>924.80000000000007</v>
      </c>
      <c r="AD22" s="43">
        <f t="shared" ref="AD22:AD32" si="14">R22*$I22</f>
        <v>924.80000000000007</v>
      </c>
      <c r="AE22" s="43">
        <f t="shared" ref="AE22:AE32" si="15">S22*$I22</f>
        <v>473.96000000000004</v>
      </c>
      <c r="AF22" s="43">
        <f t="shared" ref="AF22:AF32" si="16">T22*$I22</f>
        <v>0</v>
      </c>
      <c r="AG22" s="43">
        <f t="shared" ref="AG22:AG32" si="17">Q22*$J22</f>
        <v>2094.4</v>
      </c>
      <c r="AH22" s="43">
        <f t="shared" ref="AH22:AH32" si="18">R22*$J22</f>
        <v>2094.4</v>
      </c>
      <c r="AI22" s="43">
        <f t="shared" ref="AI22:AI32" si="19">S22*$J22</f>
        <v>1073.3800000000001</v>
      </c>
      <c r="AJ22" s="43">
        <f t="shared" ref="AJ22:AJ32" si="20">T22*$J22</f>
        <v>0</v>
      </c>
      <c r="AK22" s="43">
        <f t="shared" ref="AK22:AK32" si="21">Q22*$K22</f>
        <v>8323.2000000000007</v>
      </c>
      <c r="AL22" s="43">
        <f t="shared" ref="AL22:AL32" si="22">R22*$K22</f>
        <v>8323.2000000000007</v>
      </c>
      <c r="AM22" s="43">
        <f t="shared" ref="AM22:AM32" si="23">S22*$K22</f>
        <v>4265.6400000000003</v>
      </c>
      <c r="AN22" s="43">
        <f t="shared" ref="AN22:AN32" si="24">T22*$K22</f>
        <v>0</v>
      </c>
      <c r="AO22" s="43">
        <f t="shared" ref="AO22:AO32" si="25">Q22*$L22</f>
        <v>74.800000000000011</v>
      </c>
      <c r="AP22" s="43">
        <f t="shared" ref="AP22:AP32" si="26">R22*$L22</f>
        <v>74.800000000000011</v>
      </c>
      <c r="AQ22" s="43">
        <f t="shared" ref="AQ22:AQ32" si="27">S22*$L22</f>
        <v>38.335000000000001</v>
      </c>
      <c r="AR22" s="43">
        <f t="shared" ref="AR22:AR32" si="28">T22*$L22</f>
        <v>0</v>
      </c>
      <c r="AS22" s="43">
        <f t="shared" ref="AS22:AS32" si="29">Q22*$M22</f>
        <v>38.08</v>
      </c>
      <c r="AT22" s="43">
        <f t="shared" ref="AT22:AT32" si="30">R22*$M22</f>
        <v>38.08</v>
      </c>
      <c r="AU22" s="43">
        <f t="shared" ref="AU22:AU32" si="31">S22*$M22</f>
        <v>19.516000000000002</v>
      </c>
      <c r="AV22" s="43">
        <f t="shared" ref="AV22:AV32" si="32">T22*$M22</f>
        <v>0</v>
      </c>
      <c r="AW22" s="45">
        <f t="shared" ref="AW22:AW32" si="33">$N22*B22/100</f>
        <v>13.6</v>
      </c>
      <c r="AX22" s="45">
        <f t="shared" ref="AX22:AX32" si="34">$N22*C22/100</f>
        <v>13.6</v>
      </c>
      <c r="AY22" s="45">
        <f t="shared" ref="AY22:AY32" si="35">$N22*D22/100</f>
        <v>6.97</v>
      </c>
      <c r="AZ22" s="45">
        <f t="shared" ref="AZ22:AZ32" si="36">$N22*E22/100</f>
        <v>0</v>
      </c>
      <c r="BA22" s="45">
        <f t="shared" ref="BA22:BA32" si="37">$O22*AG22</f>
        <v>0</v>
      </c>
      <c r="BB22" s="45">
        <f t="shared" ref="BB22:BB32" si="38">$O22*AH22</f>
        <v>0</v>
      </c>
      <c r="BC22" s="45">
        <f t="shared" ref="BC22:BC32" si="39">$O22*AI22</f>
        <v>0</v>
      </c>
      <c r="BD22" s="45">
        <f t="shared" ref="BD22:BD32" si="40">$O22*AJ22</f>
        <v>0</v>
      </c>
      <c r="BE22" s="44">
        <f t="shared" ref="BE22:BE32" si="41">$P22*Q22</f>
        <v>0</v>
      </c>
      <c r="BF22" s="44">
        <f t="shared" ref="BF22:BF32" si="42">$P22*R22</f>
        <v>0</v>
      </c>
      <c r="BG22" s="44">
        <f t="shared" ref="BG22:BG32" si="43">$P22*S22</f>
        <v>0</v>
      </c>
      <c r="BH22" s="44">
        <f t="shared" ref="BH22:BH32" si="44">$P22*T22</f>
        <v>0</v>
      </c>
      <c r="BJ22" s="4"/>
      <c r="BK22" s="4"/>
      <c r="BL22" s="4"/>
    </row>
    <row r="23" spans="1:66" s="4" customFormat="1" x14ac:dyDescent="0.25">
      <c r="A23" s="114" t="s">
        <v>132</v>
      </c>
      <c r="B23" s="105"/>
      <c r="C23" s="105"/>
      <c r="D23" s="105">
        <v>24</v>
      </c>
      <c r="E23" s="105"/>
      <c r="F23" s="33">
        <v>0.28999999999999998</v>
      </c>
      <c r="G23" s="6">
        <v>1</v>
      </c>
      <c r="H23" s="7">
        <v>10.3</v>
      </c>
      <c r="I23" s="8">
        <v>70</v>
      </c>
      <c r="J23" s="8">
        <v>123</v>
      </c>
      <c r="K23" s="8">
        <v>570</v>
      </c>
      <c r="L23" s="7">
        <v>6</v>
      </c>
      <c r="M23" s="7">
        <v>2.7</v>
      </c>
      <c r="N23" s="49">
        <v>29</v>
      </c>
      <c r="O23" s="80">
        <v>0</v>
      </c>
      <c r="P23" s="80">
        <v>0</v>
      </c>
      <c r="Q23" s="43">
        <f t="shared" si="2"/>
        <v>0</v>
      </c>
      <c r="R23" s="43">
        <f t="shared" si="3"/>
        <v>0</v>
      </c>
      <c r="S23" s="43">
        <f t="shared" si="4"/>
        <v>6.9599999999999991</v>
      </c>
      <c r="T23" s="43">
        <f t="shared" si="5"/>
        <v>0</v>
      </c>
      <c r="U23" s="43">
        <f t="shared" si="6"/>
        <v>0</v>
      </c>
      <c r="V23" s="43">
        <f t="shared" si="7"/>
        <v>0</v>
      </c>
      <c r="W23" s="43">
        <f t="shared" si="8"/>
        <v>6.9599999999999991</v>
      </c>
      <c r="X23" s="43">
        <f t="shared" si="9"/>
        <v>0</v>
      </c>
      <c r="Y23" s="43">
        <f t="shared" si="10"/>
        <v>0</v>
      </c>
      <c r="Z23" s="43">
        <f t="shared" si="11"/>
        <v>0</v>
      </c>
      <c r="AA23" s="43">
        <f t="shared" ref="AA23:AA32" si="45">$H23*S23</f>
        <v>71.688000000000002</v>
      </c>
      <c r="AB23" s="43">
        <f t="shared" si="12"/>
        <v>0</v>
      </c>
      <c r="AC23" s="43">
        <f t="shared" si="13"/>
        <v>0</v>
      </c>
      <c r="AD23" s="43">
        <f t="shared" si="14"/>
        <v>0</v>
      </c>
      <c r="AE23" s="43">
        <f t="shared" si="15"/>
        <v>487.19999999999993</v>
      </c>
      <c r="AF23" s="43">
        <f t="shared" si="16"/>
        <v>0</v>
      </c>
      <c r="AG23" s="43">
        <f t="shared" si="17"/>
        <v>0</v>
      </c>
      <c r="AH23" s="43">
        <f t="shared" si="18"/>
        <v>0</v>
      </c>
      <c r="AI23" s="43">
        <f t="shared" si="19"/>
        <v>856.07999999999993</v>
      </c>
      <c r="AJ23" s="43">
        <f t="shared" si="20"/>
        <v>0</v>
      </c>
      <c r="AK23" s="43">
        <f t="shared" si="21"/>
        <v>0</v>
      </c>
      <c r="AL23" s="43">
        <f t="shared" si="22"/>
        <v>0</v>
      </c>
      <c r="AM23" s="43">
        <f t="shared" si="23"/>
        <v>3967.1999999999994</v>
      </c>
      <c r="AN23" s="43">
        <f t="shared" si="24"/>
        <v>0</v>
      </c>
      <c r="AO23" s="43">
        <f t="shared" si="25"/>
        <v>0</v>
      </c>
      <c r="AP23" s="43">
        <f t="shared" si="26"/>
        <v>0</v>
      </c>
      <c r="AQ23" s="43">
        <f t="shared" si="27"/>
        <v>41.759999999999991</v>
      </c>
      <c r="AR23" s="43">
        <f t="shared" si="28"/>
        <v>0</v>
      </c>
      <c r="AS23" s="43">
        <f t="shared" si="29"/>
        <v>0</v>
      </c>
      <c r="AT23" s="43">
        <f t="shared" si="30"/>
        <v>0</v>
      </c>
      <c r="AU23" s="43">
        <f t="shared" si="31"/>
        <v>18.791999999999998</v>
      </c>
      <c r="AV23" s="43">
        <f t="shared" si="32"/>
        <v>0</v>
      </c>
      <c r="AW23" s="45">
        <f t="shared" si="33"/>
        <v>0</v>
      </c>
      <c r="AX23" s="45">
        <f t="shared" si="34"/>
        <v>0</v>
      </c>
      <c r="AY23" s="45">
        <f t="shared" si="35"/>
        <v>6.96</v>
      </c>
      <c r="AZ23" s="45">
        <f t="shared" si="36"/>
        <v>0</v>
      </c>
      <c r="BA23" s="45">
        <f t="shared" si="37"/>
        <v>0</v>
      </c>
      <c r="BB23" s="45">
        <f t="shared" si="38"/>
        <v>0</v>
      </c>
      <c r="BC23" s="45">
        <f t="shared" si="39"/>
        <v>0</v>
      </c>
      <c r="BD23" s="45">
        <f t="shared" si="40"/>
        <v>0</v>
      </c>
      <c r="BE23" s="44">
        <f t="shared" si="41"/>
        <v>0</v>
      </c>
      <c r="BF23" s="44">
        <f t="shared" si="42"/>
        <v>0</v>
      </c>
      <c r="BG23" s="44">
        <f t="shared" si="43"/>
        <v>0</v>
      </c>
      <c r="BH23" s="44">
        <f t="shared" si="44"/>
        <v>0</v>
      </c>
      <c r="BI23" s="1"/>
      <c r="BM23" s="1"/>
      <c r="BN23" s="1"/>
    </row>
    <row r="24" spans="1:66" s="4" customFormat="1" x14ac:dyDescent="0.25">
      <c r="A24" s="114" t="s">
        <v>28</v>
      </c>
      <c r="B24" s="105">
        <v>14</v>
      </c>
      <c r="C24" s="105"/>
      <c r="D24" s="105"/>
      <c r="E24" s="105"/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si="2"/>
        <v>11.76</v>
      </c>
      <c r="R24" s="43">
        <f t="shared" si="3"/>
        <v>0</v>
      </c>
      <c r="S24" s="43">
        <f t="shared" si="4"/>
        <v>0</v>
      </c>
      <c r="T24" s="43">
        <f t="shared" si="5"/>
        <v>0</v>
      </c>
      <c r="U24" s="43">
        <f t="shared" si="6"/>
        <v>11.76</v>
      </c>
      <c r="V24" s="43">
        <f t="shared" si="7"/>
        <v>0</v>
      </c>
      <c r="W24" s="43">
        <f t="shared" si="8"/>
        <v>0</v>
      </c>
      <c r="X24" s="43">
        <f t="shared" si="9"/>
        <v>0</v>
      </c>
      <c r="Y24" s="43">
        <f t="shared" si="10"/>
        <v>117.6</v>
      </c>
      <c r="Z24" s="43">
        <f t="shared" si="11"/>
        <v>0</v>
      </c>
      <c r="AA24" s="43">
        <f t="shared" si="45"/>
        <v>0</v>
      </c>
      <c r="AB24" s="43">
        <f t="shared" si="12"/>
        <v>0</v>
      </c>
      <c r="AC24" s="43">
        <f t="shared" si="13"/>
        <v>811.43999999999994</v>
      </c>
      <c r="AD24" s="43">
        <f t="shared" si="14"/>
        <v>0</v>
      </c>
      <c r="AE24" s="43">
        <f t="shared" si="15"/>
        <v>0</v>
      </c>
      <c r="AF24" s="43">
        <f t="shared" si="16"/>
        <v>0</v>
      </c>
      <c r="AG24" s="43">
        <f t="shared" si="17"/>
        <v>1058.4000000000001</v>
      </c>
      <c r="AH24" s="43">
        <f t="shared" si="18"/>
        <v>0</v>
      </c>
      <c r="AI24" s="43">
        <f t="shared" si="19"/>
        <v>0</v>
      </c>
      <c r="AJ24" s="43">
        <f t="shared" si="20"/>
        <v>0</v>
      </c>
      <c r="AK24" s="43">
        <f t="shared" si="21"/>
        <v>7644</v>
      </c>
      <c r="AL24" s="43">
        <f t="shared" si="22"/>
        <v>0</v>
      </c>
      <c r="AM24" s="43">
        <f t="shared" si="23"/>
        <v>0</v>
      </c>
      <c r="AN24" s="43">
        <f t="shared" si="24"/>
        <v>0</v>
      </c>
      <c r="AO24" s="43">
        <f t="shared" si="25"/>
        <v>58.8</v>
      </c>
      <c r="AP24" s="43">
        <f t="shared" si="26"/>
        <v>0</v>
      </c>
      <c r="AQ24" s="43">
        <f t="shared" si="27"/>
        <v>0</v>
      </c>
      <c r="AR24" s="43">
        <f t="shared" si="28"/>
        <v>0</v>
      </c>
      <c r="AS24" s="43">
        <f t="shared" si="29"/>
        <v>35.28</v>
      </c>
      <c r="AT24" s="43">
        <f t="shared" si="30"/>
        <v>0</v>
      </c>
      <c r="AU24" s="43">
        <f t="shared" si="31"/>
        <v>0</v>
      </c>
      <c r="AV24" s="43">
        <f t="shared" si="32"/>
        <v>0</v>
      </c>
      <c r="AW24" s="45">
        <f t="shared" si="33"/>
        <v>21</v>
      </c>
      <c r="AX24" s="45">
        <f t="shared" si="34"/>
        <v>0</v>
      </c>
      <c r="AY24" s="45">
        <f t="shared" si="35"/>
        <v>0</v>
      </c>
      <c r="AZ24" s="45">
        <f t="shared" si="36"/>
        <v>0</v>
      </c>
      <c r="BA24" s="45">
        <f t="shared" si="37"/>
        <v>0</v>
      </c>
      <c r="BB24" s="45">
        <f t="shared" si="38"/>
        <v>0</v>
      </c>
      <c r="BC24" s="45">
        <f t="shared" si="39"/>
        <v>0</v>
      </c>
      <c r="BD24" s="45">
        <f t="shared" si="40"/>
        <v>0</v>
      </c>
      <c r="BE24" s="44">
        <f t="shared" si="41"/>
        <v>0</v>
      </c>
      <c r="BF24" s="44">
        <f t="shared" si="42"/>
        <v>0</v>
      </c>
      <c r="BG24" s="44">
        <f t="shared" si="43"/>
        <v>0</v>
      </c>
      <c r="BH24" s="44">
        <f t="shared" si="44"/>
        <v>0</v>
      </c>
    </row>
    <row r="25" spans="1:66" x14ac:dyDescent="0.25">
      <c r="A25" s="114" t="s">
        <v>32</v>
      </c>
      <c r="B25" s="105"/>
      <c r="C25" s="105"/>
      <c r="D25" s="105"/>
      <c r="E25" s="105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2"/>
        <v>0</v>
      </c>
      <c r="R25" s="43">
        <f t="shared" si="3"/>
        <v>0</v>
      </c>
      <c r="S25" s="43">
        <f t="shared" si="4"/>
        <v>0</v>
      </c>
      <c r="T25" s="43">
        <f t="shared" si="5"/>
        <v>0</v>
      </c>
      <c r="U25" s="43">
        <f t="shared" si="6"/>
        <v>0</v>
      </c>
      <c r="V25" s="43">
        <f t="shared" si="7"/>
        <v>0</v>
      </c>
      <c r="W25" s="43">
        <f t="shared" si="8"/>
        <v>0</v>
      </c>
      <c r="X25" s="43">
        <f t="shared" si="9"/>
        <v>0</v>
      </c>
      <c r="Y25" s="43">
        <f t="shared" si="10"/>
        <v>0</v>
      </c>
      <c r="Z25" s="43">
        <f t="shared" si="11"/>
        <v>0</v>
      </c>
      <c r="AA25" s="43">
        <f t="shared" si="45"/>
        <v>0</v>
      </c>
      <c r="AB25" s="43">
        <f t="shared" si="12"/>
        <v>0</v>
      </c>
      <c r="AC25" s="43">
        <f t="shared" si="13"/>
        <v>0</v>
      </c>
      <c r="AD25" s="43">
        <f t="shared" si="14"/>
        <v>0</v>
      </c>
      <c r="AE25" s="43">
        <f t="shared" si="15"/>
        <v>0</v>
      </c>
      <c r="AF25" s="43">
        <f t="shared" si="16"/>
        <v>0</v>
      </c>
      <c r="AG25" s="43">
        <f t="shared" si="17"/>
        <v>0</v>
      </c>
      <c r="AH25" s="43">
        <f t="shared" si="18"/>
        <v>0</v>
      </c>
      <c r="AI25" s="43">
        <f t="shared" si="19"/>
        <v>0</v>
      </c>
      <c r="AJ25" s="43">
        <f t="shared" si="20"/>
        <v>0</v>
      </c>
      <c r="AK25" s="43">
        <f t="shared" si="21"/>
        <v>0</v>
      </c>
      <c r="AL25" s="43">
        <f t="shared" si="22"/>
        <v>0</v>
      </c>
      <c r="AM25" s="43">
        <f t="shared" si="23"/>
        <v>0</v>
      </c>
      <c r="AN25" s="43">
        <f t="shared" si="24"/>
        <v>0</v>
      </c>
      <c r="AO25" s="43">
        <f t="shared" si="25"/>
        <v>0</v>
      </c>
      <c r="AP25" s="43">
        <f t="shared" si="26"/>
        <v>0</v>
      </c>
      <c r="AQ25" s="43">
        <f t="shared" si="27"/>
        <v>0</v>
      </c>
      <c r="AR25" s="43">
        <f t="shared" si="28"/>
        <v>0</v>
      </c>
      <c r="AS25" s="43">
        <f t="shared" si="29"/>
        <v>0</v>
      </c>
      <c r="AT25" s="43">
        <f t="shared" si="30"/>
        <v>0</v>
      </c>
      <c r="AU25" s="43">
        <f t="shared" si="31"/>
        <v>0</v>
      </c>
      <c r="AV25" s="43">
        <f t="shared" si="32"/>
        <v>0</v>
      </c>
      <c r="AW25" s="45">
        <f t="shared" si="33"/>
        <v>0</v>
      </c>
      <c r="AX25" s="45">
        <f t="shared" si="34"/>
        <v>0</v>
      </c>
      <c r="AY25" s="45">
        <f t="shared" si="35"/>
        <v>0</v>
      </c>
      <c r="AZ25" s="45">
        <f t="shared" si="36"/>
        <v>0</v>
      </c>
      <c r="BA25" s="45">
        <f t="shared" si="37"/>
        <v>0</v>
      </c>
      <c r="BB25" s="45">
        <f t="shared" si="38"/>
        <v>0</v>
      </c>
      <c r="BC25" s="45">
        <f t="shared" si="39"/>
        <v>0</v>
      </c>
      <c r="BD25" s="45">
        <f t="shared" si="40"/>
        <v>0</v>
      </c>
      <c r="BE25" s="44">
        <f t="shared" si="41"/>
        <v>0</v>
      </c>
      <c r="BF25" s="44">
        <f t="shared" si="42"/>
        <v>0</v>
      </c>
      <c r="BG25" s="44">
        <f t="shared" si="43"/>
        <v>0</v>
      </c>
      <c r="BH25" s="44">
        <f t="shared" si="44"/>
        <v>0</v>
      </c>
      <c r="BI25" s="4"/>
      <c r="BJ25" s="4"/>
      <c r="BK25" s="4"/>
      <c r="BL25" s="4"/>
    </row>
    <row r="26" spans="1:66" x14ac:dyDescent="0.25">
      <c r="A26" s="114" t="s">
        <v>31</v>
      </c>
      <c r="B26" s="105">
        <v>28</v>
      </c>
      <c r="C26" s="105">
        <v>24</v>
      </c>
      <c r="D26" s="105">
        <v>32</v>
      </c>
      <c r="E26" s="105">
        <v>33</v>
      </c>
      <c r="F26" s="33">
        <v>0.83</v>
      </c>
      <c r="G26" s="6">
        <v>0</v>
      </c>
      <c r="H26" s="7">
        <v>12.8</v>
      </c>
      <c r="I26" s="8">
        <v>84</v>
      </c>
      <c r="J26" s="8">
        <v>136</v>
      </c>
      <c r="K26" s="8">
        <v>260</v>
      </c>
      <c r="L26" s="7">
        <v>0.8</v>
      </c>
      <c r="M26" s="7">
        <v>3.9</v>
      </c>
      <c r="N26" s="49">
        <v>100</v>
      </c>
      <c r="O26" s="80">
        <v>0</v>
      </c>
      <c r="P26" s="80">
        <v>0</v>
      </c>
      <c r="Q26" s="43">
        <f t="shared" si="2"/>
        <v>23.24</v>
      </c>
      <c r="R26" s="43">
        <f t="shared" si="3"/>
        <v>19.919999999999998</v>
      </c>
      <c r="S26" s="43">
        <f t="shared" si="4"/>
        <v>26.56</v>
      </c>
      <c r="T26" s="43">
        <f t="shared" si="5"/>
        <v>27.389999999999997</v>
      </c>
      <c r="U26" s="43">
        <f t="shared" si="6"/>
        <v>0</v>
      </c>
      <c r="V26" s="43">
        <f t="shared" si="7"/>
        <v>0</v>
      </c>
      <c r="W26" s="43">
        <f t="shared" si="8"/>
        <v>0</v>
      </c>
      <c r="X26" s="43">
        <f t="shared" si="9"/>
        <v>0</v>
      </c>
      <c r="Y26" s="43">
        <f t="shared" si="10"/>
        <v>297.47199999999998</v>
      </c>
      <c r="Z26" s="43">
        <f t="shared" si="11"/>
        <v>254.976</v>
      </c>
      <c r="AA26" s="43">
        <f t="shared" si="45"/>
        <v>339.96800000000002</v>
      </c>
      <c r="AB26" s="43">
        <f t="shared" si="12"/>
        <v>350.59199999999998</v>
      </c>
      <c r="AC26" s="43">
        <f t="shared" si="13"/>
        <v>1952.1599999999999</v>
      </c>
      <c r="AD26" s="43">
        <f t="shared" si="14"/>
        <v>1673.2799999999997</v>
      </c>
      <c r="AE26" s="43">
        <f t="shared" si="15"/>
        <v>2231.04</v>
      </c>
      <c r="AF26" s="43">
        <f t="shared" si="16"/>
        <v>2300.7599999999998</v>
      </c>
      <c r="AG26" s="43">
        <f t="shared" si="17"/>
        <v>3160.64</v>
      </c>
      <c r="AH26" s="43">
        <f t="shared" si="18"/>
        <v>2709.12</v>
      </c>
      <c r="AI26" s="43">
        <f t="shared" si="19"/>
        <v>3612.16</v>
      </c>
      <c r="AJ26" s="43">
        <f t="shared" si="20"/>
        <v>3725.0399999999995</v>
      </c>
      <c r="AK26" s="43">
        <f t="shared" si="21"/>
        <v>6042.4</v>
      </c>
      <c r="AL26" s="43">
        <f t="shared" si="22"/>
        <v>5179.2</v>
      </c>
      <c r="AM26" s="43">
        <f t="shared" si="23"/>
        <v>6905.5999999999995</v>
      </c>
      <c r="AN26" s="43">
        <f t="shared" si="24"/>
        <v>7121.4</v>
      </c>
      <c r="AO26" s="43">
        <f t="shared" si="25"/>
        <v>18.591999999999999</v>
      </c>
      <c r="AP26" s="43">
        <f t="shared" si="26"/>
        <v>15.936</v>
      </c>
      <c r="AQ26" s="43">
        <f t="shared" si="27"/>
        <v>21.248000000000001</v>
      </c>
      <c r="AR26" s="43">
        <f t="shared" si="28"/>
        <v>21.911999999999999</v>
      </c>
      <c r="AS26" s="43">
        <f t="shared" si="29"/>
        <v>90.635999999999996</v>
      </c>
      <c r="AT26" s="43">
        <f t="shared" si="30"/>
        <v>77.687999999999988</v>
      </c>
      <c r="AU26" s="43">
        <f t="shared" si="31"/>
        <v>103.58399999999999</v>
      </c>
      <c r="AV26" s="43">
        <f t="shared" si="32"/>
        <v>106.82099999999998</v>
      </c>
      <c r="AW26" s="45">
        <f t="shared" si="33"/>
        <v>28</v>
      </c>
      <c r="AX26" s="45">
        <f t="shared" si="34"/>
        <v>24</v>
      </c>
      <c r="AY26" s="45">
        <f t="shared" si="35"/>
        <v>32</v>
      </c>
      <c r="AZ26" s="45">
        <f t="shared" si="36"/>
        <v>33</v>
      </c>
      <c r="BA26" s="45">
        <f t="shared" si="37"/>
        <v>0</v>
      </c>
      <c r="BB26" s="45">
        <f t="shared" si="38"/>
        <v>0</v>
      </c>
      <c r="BC26" s="45">
        <f t="shared" si="39"/>
        <v>0</v>
      </c>
      <c r="BD26" s="45">
        <f t="shared" si="40"/>
        <v>0</v>
      </c>
      <c r="BE26" s="44">
        <f t="shared" si="41"/>
        <v>0</v>
      </c>
      <c r="BF26" s="44">
        <f t="shared" si="42"/>
        <v>0</v>
      </c>
      <c r="BG26" s="44">
        <f t="shared" si="43"/>
        <v>0</v>
      </c>
      <c r="BH26" s="44">
        <f t="shared" si="44"/>
        <v>0</v>
      </c>
      <c r="BI26" s="4"/>
      <c r="BJ26" s="4"/>
      <c r="BK26" s="4"/>
      <c r="BL26" s="4"/>
      <c r="BM26" s="4"/>
      <c r="BN26" s="4"/>
    </row>
    <row r="27" spans="1:66" x14ac:dyDescent="0.25">
      <c r="A27" s="114" t="s">
        <v>90</v>
      </c>
      <c r="B27" s="105">
        <v>7</v>
      </c>
      <c r="C27" s="105">
        <v>5</v>
      </c>
      <c r="D27" s="105"/>
      <c r="E27" s="105"/>
      <c r="F27" s="33">
        <v>0.89</v>
      </c>
      <c r="G27" s="6">
        <v>0</v>
      </c>
      <c r="H27" s="7">
        <v>14</v>
      </c>
      <c r="I27" s="8">
        <v>157</v>
      </c>
      <c r="J27" s="8">
        <v>287</v>
      </c>
      <c r="K27" s="8">
        <v>281</v>
      </c>
      <c r="L27" s="7">
        <v>11.2</v>
      </c>
      <c r="M27" s="7">
        <v>5.6</v>
      </c>
      <c r="N27" s="49">
        <v>231</v>
      </c>
      <c r="O27" s="80">
        <v>1</v>
      </c>
      <c r="P27" s="80">
        <v>0</v>
      </c>
      <c r="Q27" s="43">
        <f t="shared" si="2"/>
        <v>6.23</v>
      </c>
      <c r="R27" s="43">
        <f t="shared" si="3"/>
        <v>4.45</v>
      </c>
      <c r="S27" s="43">
        <f t="shared" si="4"/>
        <v>0</v>
      </c>
      <c r="T27" s="43">
        <f t="shared" si="5"/>
        <v>0</v>
      </c>
      <c r="U27" s="43">
        <f t="shared" si="6"/>
        <v>0</v>
      </c>
      <c r="V27" s="43">
        <f t="shared" si="7"/>
        <v>0</v>
      </c>
      <c r="W27" s="43">
        <f t="shared" si="8"/>
        <v>0</v>
      </c>
      <c r="X27" s="43">
        <f t="shared" si="9"/>
        <v>0</v>
      </c>
      <c r="Y27" s="43">
        <f t="shared" si="10"/>
        <v>87.22</v>
      </c>
      <c r="Z27" s="43">
        <f t="shared" si="11"/>
        <v>62.300000000000004</v>
      </c>
      <c r="AA27" s="43">
        <f t="shared" si="45"/>
        <v>0</v>
      </c>
      <c r="AB27" s="43">
        <f t="shared" si="12"/>
        <v>0</v>
      </c>
      <c r="AC27" s="43">
        <f t="shared" si="13"/>
        <v>978.11</v>
      </c>
      <c r="AD27" s="43">
        <f t="shared" si="14"/>
        <v>698.65</v>
      </c>
      <c r="AE27" s="43">
        <f t="shared" si="15"/>
        <v>0</v>
      </c>
      <c r="AF27" s="43">
        <f t="shared" si="16"/>
        <v>0</v>
      </c>
      <c r="AG27" s="43">
        <f t="shared" si="17"/>
        <v>1788.0100000000002</v>
      </c>
      <c r="AH27" s="43">
        <f t="shared" si="18"/>
        <v>1277.1500000000001</v>
      </c>
      <c r="AI27" s="43">
        <f t="shared" si="19"/>
        <v>0</v>
      </c>
      <c r="AJ27" s="43">
        <f t="shared" si="20"/>
        <v>0</v>
      </c>
      <c r="AK27" s="43">
        <f t="shared" si="21"/>
        <v>1750.63</v>
      </c>
      <c r="AL27" s="43">
        <f t="shared" si="22"/>
        <v>1250.45</v>
      </c>
      <c r="AM27" s="43">
        <f t="shared" si="23"/>
        <v>0</v>
      </c>
      <c r="AN27" s="43">
        <f t="shared" si="24"/>
        <v>0</v>
      </c>
      <c r="AO27" s="43">
        <f t="shared" si="25"/>
        <v>69.775999999999996</v>
      </c>
      <c r="AP27" s="43">
        <f t="shared" si="26"/>
        <v>49.839999999999996</v>
      </c>
      <c r="AQ27" s="43">
        <f t="shared" si="27"/>
        <v>0</v>
      </c>
      <c r="AR27" s="43">
        <f t="shared" si="28"/>
        <v>0</v>
      </c>
      <c r="AS27" s="43">
        <f t="shared" si="29"/>
        <v>34.887999999999998</v>
      </c>
      <c r="AT27" s="43">
        <f t="shared" si="30"/>
        <v>24.919999999999998</v>
      </c>
      <c r="AU27" s="43">
        <f t="shared" si="31"/>
        <v>0</v>
      </c>
      <c r="AV27" s="43">
        <f t="shared" si="32"/>
        <v>0</v>
      </c>
      <c r="AW27" s="45">
        <f t="shared" si="33"/>
        <v>16.170000000000002</v>
      </c>
      <c r="AX27" s="45">
        <f t="shared" si="34"/>
        <v>11.55</v>
      </c>
      <c r="AY27" s="45">
        <f t="shared" si="35"/>
        <v>0</v>
      </c>
      <c r="AZ27" s="45">
        <f t="shared" si="36"/>
        <v>0</v>
      </c>
      <c r="BA27" s="45">
        <f t="shared" si="37"/>
        <v>1788.0100000000002</v>
      </c>
      <c r="BB27" s="45">
        <f t="shared" si="38"/>
        <v>1277.1500000000001</v>
      </c>
      <c r="BC27" s="45">
        <f t="shared" si="39"/>
        <v>0</v>
      </c>
      <c r="BD27" s="45">
        <f t="shared" si="40"/>
        <v>0</v>
      </c>
      <c r="BE27" s="44">
        <f t="shared" si="41"/>
        <v>0</v>
      </c>
      <c r="BF27" s="44">
        <f t="shared" si="42"/>
        <v>0</v>
      </c>
      <c r="BG27" s="44">
        <f t="shared" si="43"/>
        <v>0</v>
      </c>
      <c r="BH27" s="44">
        <f t="shared" si="44"/>
        <v>0</v>
      </c>
      <c r="BI27" s="4"/>
      <c r="BJ27" s="4"/>
      <c r="BK27" s="4"/>
      <c r="BL27" s="4"/>
      <c r="BM27" s="4"/>
      <c r="BN27" s="4"/>
    </row>
    <row r="28" spans="1:66" x14ac:dyDescent="0.25">
      <c r="A28" s="114" t="s">
        <v>93</v>
      </c>
      <c r="B28" s="105"/>
      <c r="C28" s="105"/>
      <c r="D28" s="105"/>
      <c r="E28" s="105"/>
      <c r="F28" s="34">
        <v>0.88</v>
      </c>
      <c r="G28" s="6">
        <v>0</v>
      </c>
      <c r="H28" s="7">
        <v>13.6</v>
      </c>
      <c r="I28" s="8">
        <v>142</v>
      </c>
      <c r="J28" s="8">
        <v>207</v>
      </c>
      <c r="K28" s="8">
        <v>193</v>
      </c>
      <c r="L28" s="7">
        <v>8</v>
      </c>
      <c r="M28" s="7">
        <v>4.5</v>
      </c>
      <c r="N28" s="49">
        <v>229</v>
      </c>
      <c r="O28" s="80">
        <v>1</v>
      </c>
      <c r="P28" s="80">
        <v>0</v>
      </c>
      <c r="Q28" s="43">
        <f t="shared" si="2"/>
        <v>0</v>
      </c>
      <c r="R28" s="43">
        <f t="shared" si="3"/>
        <v>0</v>
      </c>
      <c r="S28" s="43">
        <f t="shared" si="4"/>
        <v>0</v>
      </c>
      <c r="T28" s="43">
        <f t="shared" si="5"/>
        <v>0</v>
      </c>
      <c r="U28" s="43">
        <f t="shared" si="6"/>
        <v>0</v>
      </c>
      <c r="V28" s="43">
        <f t="shared" si="7"/>
        <v>0</v>
      </c>
      <c r="W28" s="43">
        <f t="shared" si="8"/>
        <v>0</v>
      </c>
      <c r="X28" s="43">
        <f t="shared" si="9"/>
        <v>0</v>
      </c>
      <c r="Y28" s="43">
        <f t="shared" si="10"/>
        <v>0</v>
      </c>
      <c r="Z28" s="43">
        <f t="shared" si="11"/>
        <v>0</v>
      </c>
      <c r="AA28" s="43">
        <f t="shared" si="45"/>
        <v>0</v>
      </c>
      <c r="AB28" s="43">
        <f t="shared" si="12"/>
        <v>0</v>
      </c>
      <c r="AC28" s="43">
        <f t="shared" si="13"/>
        <v>0</v>
      </c>
      <c r="AD28" s="43">
        <f t="shared" si="14"/>
        <v>0</v>
      </c>
      <c r="AE28" s="43">
        <f t="shared" si="15"/>
        <v>0</v>
      </c>
      <c r="AF28" s="43">
        <f t="shared" si="16"/>
        <v>0</v>
      </c>
      <c r="AG28" s="43">
        <f t="shared" si="17"/>
        <v>0</v>
      </c>
      <c r="AH28" s="43">
        <f t="shared" si="18"/>
        <v>0</v>
      </c>
      <c r="AI28" s="43">
        <f t="shared" si="19"/>
        <v>0</v>
      </c>
      <c r="AJ28" s="43">
        <f t="shared" si="20"/>
        <v>0</v>
      </c>
      <c r="AK28" s="43">
        <f t="shared" si="21"/>
        <v>0</v>
      </c>
      <c r="AL28" s="43">
        <f t="shared" si="22"/>
        <v>0</v>
      </c>
      <c r="AM28" s="43">
        <f t="shared" si="23"/>
        <v>0</v>
      </c>
      <c r="AN28" s="43">
        <f t="shared" si="24"/>
        <v>0</v>
      </c>
      <c r="AO28" s="43">
        <f t="shared" si="25"/>
        <v>0</v>
      </c>
      <c r="AP28" s="43">
        <f t="shared" si="26"/>
        <v>0</v>
      </c>
      <c r="AQ28" s="43">
        <f t="shared" si="27"/>
        <v>0</v>
      </c>
      <c r="AR28" s="43">
        <f t="shared" si="28"/>
        <v>0</v>
      </c>
      <c r="AS28" s="43">
        <f t="shared" si="29"/>
        <v>0</v>
      </c>
      <c r="AT28" s="43">
        <f t="shared" si="30"/>
        <v>0</v>
      </c>
      <c r="AU28" s="43">
        <f t="shared" si="31"/>
        <v>0</v>
      </c>
      <c r="AV28" s="43">
        <f t="shared" si="32"/>
        <v>0</v>
      </c>
      <c r="AW28" s="45">
        <f t="shared" si="33"/>
        <v>0</v>
      </c>
      <c r="AX28" s="45">
        <f t="shared" si="34"/>
        <v>0</v>
      </c>
      <c r="AY28" s="45">
        <f t="shared" si="35"/>
        <v>0</v>
      </c>
      <c r="AZ28" s="45">
        <f t="shared" si="36"/>
        <v>0</v>
      </c>
      <c r="BA28" s="45">
        <f t="shared" si="37"/>
        <v>0</v>
      </c>
      <c r="BB28" s="45">
        <f t="shared" si="38"/>
        <v>0</v>
      </c>
      <c r="BC28" s="45">
        <f t="shared" si="39"/>
        <v>0</v>
      </c>
      <c r="BD28" s="45">
        <f t="shared" si="40"/>
        <v>0</v>
      </c>
      <c r="BE28" s="44">
        <f t="shared" si="41"/>
        <v>0</v>
      </c>
      <c r="BF28" s="44">
        <f t="shared" si="42"/>
        <v>0</v>
      </c>
      <c r="BG28" s="44">
        <f t="shared" si="43"/>
        <v>0</v>
      </c>
      <c r="BH28" s="44">
        <f t="shared" si="44"/>
        <v>0</v>
      </c>
      <c r="BI28" s="4"/>
      <c r="BJ28" s="4"/>
      <c r="BK28" s="4"/>
      <c r="BL28" s="4"/>
    </row>
    <row r="29" spans="1:66" x14ac:dyDescent="0.25">
      <c r="A29" s="114" t="s">
        <v>93</v>
      </c>
      <c r="B29" s="105"/>
      <c r="C29" s="105"/>
      <c r="D29" s="105"/>
      <c r="E29" s="105"/>
      <c r="F29" s="34"/>
      <c r="G29" s="6"/>
      <c r="H29" s="7"/>
      <c r="I29" s="8"/>
      <c r="J29" s="8"/>
      <c r="K29" s="8"/>
      <c r="L29" s="7"/>
      <c r="M29" s="7"/>
      <c r="N29" s="49"/>
      <c r="O29" s="80"/>
      <c r="P29" s="80"/>
      <c r="Q29" s="43">
        <f t="shared" si="2"/>
        <v>0</v>
      </c>
      <c r="R29" s="43">
        <f t="shared" si="3"/>
        <v>0</v>
      </c>
      <c r="S29" s="43">
        <f t="shared" si="4"/>
        <v>0</v>
      </c>
      <c r="T29" s="43">
        <f t="shared" si="5"/>
        <v>0</v>
      </c>
      <c r="U29" s="43">
        <f t="shared" si="6"/>
        <v>0</v>
      </c>
      <c r="V29" s="43">
        <f t="shared" si="7"/>
        <v>0</v>
      </c>
      <c r="W29" s="43">
        <f t="shared" si="8"/>
        <v>0</v>
      </c>
      <c r="X29" s="43">
        <f t="shared" si="9"/>
        <v>0</v>
      </c>
      <c r="Y29" s="43">
        <f t="shared" si="10"/>
        <v>0</v>
      </c>
      <c r="Z29" s="43">
        <f t="shared" si="11"/>
        <v>0</v>
      </c>
      <c r="AA29" s="43">
        <f t="shared" si="45"/>
        <v>0</v>
      </c>
      <c r="AB29" s="43">
        <f t="shared" si="12"/>
        <v>0</v>
      </c>
      <c r="AC29" s="43">
        <f t="shared" si="13"/>
        <v>0</v>
      </c>
      <c r="AD29" s="43">
        <f t="shared" si="14"/>
        <v>0</v>
      </c>
      <c r="AE29" s="43">
        <f t="shared" si="15"/>
        <v>0</v>
      </c>
      <c r="AF29" s="43">
        <f t="shared" si="16"/>
        <v>0</v>
      </c>
      <c r="AG29" s="43">
        <f t="shared" si="17"/>
        <v>0</v>
      </c>
      <c r="AH29" s="43">
        <f t="shared" si="18"/>
        <v>0</v>
      </c>
      <c r="AI29" s="43">
        <f t="shared" si="19"/>
        <v>0</v>
      </c>
      <c r="AJ29" s="43">
        <f t="shared" si="20"/>
        <v>0</v>
      </c>
      <c r="AK29" s="43">
        <f t="shared" si="21"/>
        <v>0</v>
      </c>
      <c r="AL29" s="43">
        <f t="shared" si="22"/>
        <v>0</v>
      </c>
      <c r="AM29" s="43">
        <f t="shared" si="23"/>
        <v>0</v>
      </c>
      <c r="AN29" s="43">
        <f t="shared" si="24"/>
        <v>0</v>
      </c>
      <c r="AO29" s="43">
        <f t="shared" si="25"/>
        <v>0</v>
      </c>
      <c r="AP29" s="43">
        <f t="shared" si="26"/>
        <v>0</v>
      </c>
      <c r="AQ29" s="43">
        <f t="shared" si="27"/>
        <v>0</v>
      </c>
      <c r="AR29" s="43">
        <f t="shared" si="28"/>
        <v>0</v>
      </c>
      <c r="AS29" s="43">
        <f t="shared" si="29"/>
        <v>0</v>
      </c>
      <c r="AT29" s="43">
        <f t="shared" si="30"/>
        <v>0</v>
      </c>
      <c r="AU29" s="43">
        <f t="shared" si="31"/>
        <v>0</v>
      </c>
      <c r="AV29" s="43">
        <f t="shared" si="32"/>
        <v>0</v>
      </c>
      <c r="AW29" s="45">
        <f t="shared" si="33"/>
        <v>0</v>
      </c>
      <c r="AX29" s="45">
        <f t="shared" si="34"/>
        <v>0</v>
      </c>
      <c r="AY29" s="45">
        <f t="shared" si="35"/>
        <v>0</v>
      </c>
      <c r="AZ29" s="45">
        <f t="shared" si="36"/>
        <v>0</v>
      </c>
      <c r="BA29" s="45">
        <f t="shared" si="37"/>
        <v>0</v>
      </c>
      <c r="BB29" s="45">
        <f t="shared" si="38"/>
        <v>0</v>
      </c>
      <c r="BC29" s="45">
        <f t="shared" si="39"/>
        <v>0</v>
      </c>
      <c r="BD29" s="45">
        <f t="shared" si="40"/>
        <v>0</v>
      </c>
      <c r="BE29" s="44">
        <f t="shared" si="41"/>
        <v>0</v>
      </c>
      <c r="BF29" s="44">
        <f t="shared" si="42"/>
        <v>0</v>
      </c>
      <c r="BG29" s="44">
        <f t="shared" si="43"/>
        <v>0</v>
      </c>
      <c r="BH29" s="44">
        <f t="shared" si="44"/>
        <v>0</v>
      </c>
      <c r="BI29" s="4"/>
      <c r="BJ29" s="4"/>
      <c r="BK29" s="4"/>
      <c r="BL29" s="4"/>
    </row>
    <row r="30" spans="1:66" x14ac:dyDescent="0.25">
      <c r="A30" s="114" t="s">
        <v>93</v>
      </c>
      <c r="B30" s="105"/>
      <c r="C30" s="105"/>
      <c r="D30" s="105"/>
      <c r="E30" s="105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2"/>
        <v>0</v>
      </c>
      <c r="R30" s="43">
        <f t="shared" si="3"/>
        <v>0</v>
      </c>
      <c r="S30" s="43">
        <f t="shared" si="4"/>
        <v>0</v>
      </c>
      <c r="T30" s="43">
        <f t="shared" si="5"/>
        <v>0</v>
      </c>
      <c r="U30" s="43">
        <f t="shared" si="6"/>
        <v>0</v>
      </c>
      <c r="V30" s="43">
        <f t="shared" si="7"/>
        <v>0</v>
      </c>
      <c r="W30" s="43">
        <f t="shared" si="8"/>
        <v>0</v>
      </c>
      <c r="X30" s="43">
        <f t="shared" si="9"/>
        <v>0</v>
      </c>
      <c r="Y30" s="43">
        <f t="shared" si="10"/>
        <v>0</v>
      </c>
      <c r="Z30" s="43">
        <f t="shared" si="11"/>
        <v>0</v>
      </c>
      <c r="AA30" s="43">
        <f t="shared" si="45"/>
        <v>0</v>
      </c>
      <c r="AB30" s="43">
        <f t="shared" si="12"/>
        <v>0</v>
      </c>
      <c r="AC30" s="43">
        <f t="shared" si="13"/>
        <v>0</v>
      </c>
      <c r="AD30" s="43">
        <f t="shared" si="14"/>
        <v>0</v>
      </c>
      <c r="AE30" s="43">
        <f t="shared" si="15"/>
        <v>0</v>
      </c>
      <c r="AF30" s="43">
        <f t="shared" si="16"/>
        <v>0</v>
      </c>
      <c r="AG30" s="43">
        <f t="shared" si="17"/>
        <v>0</v>
      </c>
      <c r="AH30" s="43">
        <f t="shared" si="18"/>
        <v>0</v>
      </c>
      <c r="AI30" s="43">
        <f t="shared" si="19"/>
        <v>0</v>
      </c>
      <c r="AJ30" s="43">
        <f t="shared" si="20"/>
        <v>0</v>
      </c>
      <c r="AK30" s="43">
        <f t="shared" si="21"/>
        <v>0</v>
      </c>
      <c r="AL30" s="43">
        <f t="shared" si="22"/>
        <v>0</v>
      </c>
      <c r="AM30" s="43">
        <f t="shared" si="23"/>
        <v>0</v>
      </c>
      <c r="AN30" s="43">
        <f t="shared" si="24"/>
        <v>0</v>
      </c>
      <c r="AO30" s="43">
        <f t="shared" si="25"/>
        <v>0</v>
      </c>
      <c r="AP30" s="43">
        <f t="shared" si="26"/>
        <v>0</v>
      </c>
      <c r="AQ30" s="43">
        <f t="shared" si="27"/>
        <v>0</v>
      </c>
      <c r="AR30" s="43">
        <f t="shared" si="28"/>
        <v>0</v>
      </c>
      <c r="AS30" s="43">
        <f t="shared" si="29"/>
        <v>0</v>
      </c>
      <c r="AT30" s="43">
        <f t="shared" si="30"/>
        <v>0</v>
      </c>
      <c r="AU30" s="43">
        <f t="shared" si="31"/>
        <v>0</v>
      </c>
      <c r="AV30" s="43">
        <f t="shared" si="32"/>
        <v>0</v>
      </c>
      <c r="AW30" s="45">
        <f t="shared" si="33"/>
        <v>0</v>
      </c>
      <c r="AX30" s="45">
        <f t="shared" si="34"/>
        <v>0</v>
      </c>
      <c r="AY30" s="45">
        <f t="shared" si="35"/>
        <v>0</v>
      </c>
      <c r="AZ30" s="45">
        <f t="shared" si="36"/>
        <v>0</v>
      </c>
      <c r="BA30" s="45">
        <f t="shared" si="37"/>
        <v>0</v>
      </c>
      <c r="BB30" s="45">
        <f t="shared" si="38"/>
        <v>0</v>
      </c>
      <c r="BC30" s="45">
        <f t="shared" si="39"/>
        <v>0</v>
      </c>
      <c r="BD30" s="45">
        <f t="shared" si="40"/>
        <v>0</v>
      </c>
      <c r="BE30" s="44">
        <f t="shared" si="41"/>
        <v>0</v>
      </c>
      <c r="BF30" s="44">
        <f t="shared" si="42"/>
        <v>0</v>
      </c>
      <c r="BG30" s="44">
        <f t="shared" si="43"/>
        <v>0</v>
      </c>
      <c r="BH30" s="44">
        <f t="shared" si="44"/>
        <v>0</v>
      </c>
    </row>
    <row r="31" spans="1:66" x14ac:dyDescent="0.25">
      <c r="A31" s="114" t="s">
        <v>54</v>
      </c>
      <c r="B31" s="105">
        <v>1</v>
      </c>
      <c r="C31" s="105">
        <v>1</v>
      </c>
      <c r="D31" s="105">
        <v>1</v>
      </c>
      <c r="E31" s="105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2"/>
        <v>0.98</v>
      </c>
      <c r="R31" s="43">
        <f t="shared" si="3"/>
        <v>0.98</v>
      </c>
      <c r="S31" s="43">
        <f t="shared" si="4"/>
        <v>0.98</v>
      </c>
      <c r="T31" s="43">
        <f t="shared" si="5"/>
        <v>0.98</v>
      </c>
      <c r="U31" s="43">
        <f t="shared" si="6"/>
        <v>0</v>
      </c>
      <c r="V31" s="43">
        <f t="shared" si="7"/>
        <v>0</v>
      </c>
      <c r="W31" s="43">
        <f t="shared" si="8"/>
        <v>0</v>
      </c>
      <c r="X31" s="43">
        <f t="shared" si="9"/>
        <v>0</v>
      </c>
      <c r="Y31" s="43">
        <f t="shared" si="10"/>
        <v>0</v>
      </c>
      <c r="Z31" s="43">
        <f t="shared" si="11"/>
        <v>0</v>
      </c>
      <c r="AA31" s="43">
        <f t="shared" si="45"/>
        <v>0</v>
      </c>
      <c r="AB31" s="43">
        <f t="shared" si="12"/>
        <v>0</v>
      </c>
      <c r="AC31" s="43">
        <f t="shared" si="13"/>
        <v>0</v>
      </c>
      <c r="AD31" s="43">
        <f t="shared" si="14"/>
        <v>0</v>
      </c>
      <c r="AE31" s="43">
        <f t="shared" si="15"/>
        <v>0</v>
      </c>
      <c r="AF31" s="43">
        <f t="shared" si="16"/>
        <v>0</v>
      </c>
      <c r="AG31" s="43">
        <f t="shared" si="17"/>
        <v>0</v>
      </c>
      <c r="AH31" s="43">
        <f t="shared" si="18"/>
        <v>0</v>
      </c>
      <c r="AI31" s="43">
        <f t="shared" si="19"/>
        <v>0</v>
      </c>
      <c r="AJ31" s="43">
        <f t="shared" si="20"/>
        <v>0</v>
      </c>
      <c r="AK31" s="43">
        <f t="shared" si="21"/>
        <v>0</v>
      </c>
      <c r="AL31" s="43">
        <f t="shared" si="22"/>
        <v>0</v>
      </c>
      <c r="AM31" s="43">
        <f t="shared" si="23"/>
        <v>0</v>
      </c>
      <c r="AN31" s="43">
        <f t="shared" si="24"/>
        <v>0</v>
      </c>
      <c r="AO31" s="43">
        <f t="shared" si="25"/>
        <v>146.02000000000001</v>
      </c>
      <c r="AP31" s="43">
        <f t="shared" si="26"/>
        <v>146.02000000000001</v>
      </c>
      <c r="AQ31" s="43">
        <f t="shared" si="27"/>
        <v>146.02000000000001</v>
      </c>
      <c r="AR31" s="43">
        <f t="shared" si="28"/>
        <v>146.02000000000001</v>
      </c>
      <c r="AS31" s="43">
        <f t="shared" si="29"/>
        <v>64.97399999999999</v>
      </c>
      <c r="AT31" s="43">
        <f t="shared" si="30"/>
        <v>64.97399999999999</v>
      </c>
      <c r="AU31" s="43">
        <f t="shared" si="31"/>
        <v>64.97399999999999</v>
      </c>
      <c r="AV31" s="43">
        <f t="shared" si="32"/>
        <v>64.97399999999999</v>
      </c>
      <c r="AW31" s="45">
        <f t="shared" si="33"/>
        <v>6.5</v>
      </c>
      <c r="AX31" s="45">
        <f t="shared" si="34"/>
        <v>6.5</v>
      </c>
      <c r="AY31" s="45">
        <f t="shared" si="35"/>
        <v>6.5</v>
      </c>
      <c r="AZ31" s="45">
        <f t="shared" si="36"/>
        <v>6.5</v>
      </c>
      <c r="BA31" s="45">
        <f t="shared" si="37"/>
        <v>0</v>
      </c>
      <c r="BB31" s="45">
        <f t="shared" si="38"/>
        <v>0</v>
      </c>
      <c r="BC31" s="45">
        <f t="shared" si="39"/>
        <v>0</v>
      </c>
      <c r="BD31" s="45">
        <f t="shared" si="40"/>
        <v>0</v>
      </c>
      <c r="BE31" s="44">
        <f t="shared" si="41"/>
        <v>0</v>
      </c>
      <c r="BF31" s="44">
        <f t="shared" si="42"/>
        <v>0</v>
      </c>
      <c r="BG31" s="44">
        <f t="shared" si="43"/>
        <v>0</v>
      </c>
      <c r="BH31" s="44">
        <f t="shared" si="44"/>
        <v>0</v>
      </c>
      <c r="BI31" s="4"/>
      <c r="BJ31" s="4"/>
      <c r="BK31" s="4"/>
      <c r="BL31" s="4"/>
    </row>
    <row r="32" spans="1:66" x14ac:dyDescent="0.25">
      <c r="A32" s="114" t="s">
        <v>93</v>
      </c>
      <c r="B32" s="105"/>
      <c r="C32" s="105"/>
      <c r="D32" s="105"/>
      <c r="E32" s="105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2"/>
        <v>0</v>
      </c>
      <c r="R32" s="43">
        <f t="shared" si="3"/>
        <v>0</v>
      </c>
      <c r="S32" s="43">
        <f t="shared" si="4"/>
        <v>0</v>
      </c>
      <c r="T32" s="43">
        <f t="shared" si="5"/>
        <v>0</v>
      </c>
      <c r="U32" s="43">
        <f t="shared" si="6"/>
        <v>0</v>
      </c>
      <c r="V32" s="43">
        <f t="shared" si="7"/>
        <v>0</v>
      </c>
      <c r="W32" s="43">
        <f t="shared" si="8"/>
        <v>0</v>
      </c>
      <c r="X32" s="43">
        <f t="shared" si="9"/>
        <v>0</v>
      </c>
      <c r="Y32" s="43">
        <f t="shared" si="10"/>
        <v>0</v>
      </c>
      <c r="Z32" s="43">
        <f t="shared" si="11"/>
        <v>0</v>
      </c>
      <c r="AA32" s="43">
        <f t="shared" si="45"/>
        <v>0</v>
      </c>
      <c r="AB32" s="43">
        <f t="shared" si="12"/>
        <v>0</v>
      </c>
      <c r="AC32" s="43">
        <f t="shared" si="13"/>
        <v>0</v>
      </c>
      <c r="AD32" s="43">
        <f t="shared" si="14"/>
        <v>0</v>
      </c>
      <c r="AE32" s="43">
        <f t="shared" si="15"/>
        <v>0</v>
      </c>
      <c r="AF32" s="43">
        <f t="shared" si="16"/>
        <v>0</v>
      </c>
      <c r="AG32" s="43">
        <f t="shared" si="17"/>
        <v>0</v>
      </c>
      <c r="AH32" s="43">
        <f t="shared" si="18"/>
        <v>0</v>
      </c>
      <c r="AI32" s="43">
        <f t="shared" si="19"/>
        <v>0</v>
      </c>
      <c r="AJ32" s="43">
        <f t="shared" si="20"/>
        <v>0</v>
      </c>
      <c r="AK32" s="43">
        <f t="shared" si="21"/>
        <v>0</v>
      </c>
      <c r="AL32" s="43">
        <f t="shared" si="22"/>
        <v>0</v>
      </c>
      <c r="AM32" s="43">
        <f t="shared" si="23"/>
        <v>0</v>
      </c>
      <c r="AN32" s="43">
        <f t="shared" si="24"/>
        <v>0</v>
      </c>
      <c r="AO32" s="43">
        <f t="shared" si="25"/>
        <v>0</v>
      </c>
      <c r="AP32" s="43">
        <f t="shared" si="26"/>
        <v>0</v>
      </c>
      <c r="AQ32" s="43">
        <f t="shared" si="27"/>
        <v>0</v>
      </c>
      <c r="AR32" s="43">
        <f t="shared" si="28"/>
        <v>0</v>
      </c>
      <c r="AS32" s="43">
        <f t="shared" si="29"/>
        <v>0</v>
      </c>
      <c r="AT32" s="43">
        <f t="shared" si="30"/>
        <v>0</v>
      </c>
      <c r="AU32" s="43">
        <f t="shared" si="31"/>
        <v>0</v>
      </c>
      <c r="AV32" s="43">
        <f t="shared" si="32"/>
        <v>0</v>
      </c>
      <c r="AW32" s="45">
        <f t="shared" si="33"/>
        <v>0</v>
      </c>
      <c r="AX32" s="45">
        <f t="shared" si="34"/>
        <v>0</v>
      </c>
      <c r="AY32" s="45">
        <f t="shared" si="35"/>
        <v>0</v>
      </c>
      <c r="AZ32" s="45">
        <f t="shared" si="36"/>
        <v>0</v>
      </c>
      <c r="BA32" s="45">
        <f t="shared" si="37"/>
        <v>0</v>
      </c>
      <c r="BB32" s="45">
        <f t="shared" si="38"/>
        <v>0</v>
      </c>
      <c r="BC32" s="45">
        <f t="shared" si="39"/>
        <v>0</v>
      </c>
      <c r="BD32" s="45">
        <f t="shared" si="40"/>
        <v>0</v>
      </c>
      <c r="BE32" s="44">
        <f t="shared" si="41"/>
        <v>0</v>
      </c>
      <c r="BF32" s="44">
        <f t="shared" si="42"/>
        <v>0</v>
      </c>
      <c r="BG32" s="44">
        <f t="shared" si="43"/>
        <v>0</v>
      </c>
      <c r="BH32" s="44">
        <f t="shared" si="44"/>
        <v>0</v>
      </c>
      <c r="BI32" s="4"/>
      <c r="BJ32" s="4"/>
      <c r="BK32" s="4"/>
      <c r="BL32" s="4"/>
    </row>
    <row r="33" spans="1:64" ht="15.6" x14ac:dyDescent="0.3">
      <c r="A33" s="115" t="s">
        <v>58</v>
      </c>
      <c r="B33" s="136">
        <f>SUM(B22:B31)</f>
        <v>130</v>
      </c>
      <c r="C33" s="136">
        <f>SUM(C22:C31)</f>
        <v>110</v>
      </c>
      <c r="D33" s="136">
        <f>SUM(D22:D31)</f>
        <v>98</v>
      </c>
      <c r="E33" s="136">
        <f>SUM(E22:E31)</f>
        <v>34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46">SUM(Q22:Q32)</f>
        <v>55.809999999999995</v>
      </c>
      <c r="R33" s="82">
        <f t="shared" si="46"/>
        <v>38.949999999999996</v>
      </c>
      <c r="S33" s="82">
        <f t="shared" si="46"/>
        <v>41.469999999999992</v>
      </c>
      <c r="T33" s="82">
        <f t="shared" si="46"/>
        <v>28.369999999999997</v>
      </c>
      <c r="U33" s="82">
        <f t="shared" si="46"/>
        <v>25.36</v>
      </c>
      <c r="V33" s="82">
        <f t="shared" si="46"/>
        <v>13.600000000000001</v>
      </c>
      <c r="W33" s="82">
        <f t="shared" si="46"/>
        <v>13.93</v>
      </c>
      <c r="X33" s="82">
        <f t="shared" si="46"/>
        <v>0</v>
      </c>
      <c r="Y33" s="82">
        <f t="shared" si="46"/>
        <v>635.572</v>
      </c>
      <c r="Z33" s="82">
        <f t="shared" si="46"/>
        <v>450.55600000000004</v>
      </c>
      <c r="AA33" s="82">
        <f t="shared" si="46"/>
        <v>479.96200000000005</v>
      </c>
      <c r="AB33" s="82">
        <f t="shared" si="46"/>
        <v>350.59199999999998</v>
      </c>
      <c r="AC33" s="82">
        <f t="shared" si="46"/>
        <v>4666.5099999999993</v>
      </c>
      <c r="AD33" s="82">
        <f t="shared" si="46"/>
        <v>3296.73</v>
      </c>
      <c r="AE33" s="82">
        <f t="shared" si="46"/>
        <v>3192.2</v>
      </c>
      <c r="AF33" s="82">
        <f t="shared" si="46"/>
        <v>2300.7599999999998</v>
      </c>
      <c r="AG33" s="82">
        <f t="shared" si="46"/>
        <v>8101.4500000000007</v>
      </c>
      <c r="AH33" s="82">
        <f t="shared" si="46"/>
        <v>6080.67</v>
      </c>
      <c r="AI33" s="82">
        <f t="shared" si="46"/>
        <v>5541.62</v>
      </c>
      <c r="AJ33" s="82">
        <f t="shared" si="46"/>
        <v>3725.0399999999995</v>
      </c>
      <c r="AK33" s="82">
        <f t="shared" si="46"/>
        <v>23760.23</v>
      </c>
      <c r="AL33" s="82">
        <f t="shared" si="46"/>
        <v>14752.850000000002</v>
      </c>
      <c r="AM33" s="82">
        <f t="shared" si="46"/>
        <v>15138.439999999999</v>
      </c>
      <c r="AN33" s="82">
        <f t="shared" si="46"/>
        <v>7121.4</v>
      </c>
      <c r="AO33" s="82">
        <f t="shared" si="46"/>
        <v>367.98800000000006</v>
      </c>
      <c r="AP33" s="82">
        <f t="shared" si="46"/>
        <v>286.596</v>
      </c>
      <c r="AQ33" s="82">
        <f t="shared" si="46"/>
        <v>247.363</v>
      </c>
      <c r="AR33" s="82">
        <f t="shared" si="46"/>
        <v>167.93200000000002</v>
      </c>
      <c r="AS33" s="82">
        <f t="shared" si="46"/>
        <v>263.85799999999995</v>
      </c>
      <c r="AT33" s="82">
        <f t="shared" si="46"/>
        <v>205.66199999999998</v>
      </c>
      <c r="AU33" s="82">
        <f t="shared" si="46"/>
        <v>206.86599999999999</v>
      </c>
      <c r="AV33" s="82">
        <f t="shared" si="46"/>
        <v>171.79499999999996</v>
      </c>
      <c r="AW33" s="83">
        <f t="shared" si="46"/>
        <v>85.27000000000001</v>
      </c>
      <c r="AX33" s="83">
        <f t="shared" si="46"/>
        <v>55.650000000000006</v>
      </c>
      <c r="AY33" s="83">
        <f t="shared" si="46"/>
        <v>52.43</v>
      </c>
      <c r="AZ33" s="83">
        <f t="shared" si="46"/>
        <v>39.5</v>
      </c>
      <c r="BA33" s="84">
        <f t="shared" si="46"/>
        <v>1788.0100000000002</v>
      </c>
      <c r="BB33" s="84">
        <f t="shared" si="46"/>
        <v>1277.1500000000001</v>
      </c>
      <c r="BC33" s="84">
        <f t="shared" si="46"/>
        <v>0</v>
      </c>
      <c r="BD33" s="84">
        <f t="shared" si="46"/>
        <v>0</v>
      </c>
      <c r="BE33" s="84">
        <f t="shared" si="46"/>
        <v>0</v>
      </c>
      <c r="BF33" s="84">
        <f t="shared" si="46"/>
        <v>0</v>
      </c>
      <c r="BG33" s="84">
        <f t="shared" si="46"/>
        <v>0</v>
      </c>
      <c r="BH33" s="84">
        <f t="shared" si="46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0.42930769230769228</v>
      </c>
      <c r="R34" s="65">
        <f>R33/C33</f>
        <v>0.35409090909090907</v>
      </c>
      <c r="S34" s="65">
        <f>S33/D33</f>
        <v>0.42316326530612236</v>
      </c>
      <c r="T34" s="65">
        <f>T33/E33</f>
        <v>0.8344117647058823</v>
      </c>
      <c r="U34" s="141">
        <f>U33/Q33</f>
        <v>0.45439885325210538</v>
      </c>
      <c r="V34" s="138">
        <f>V33/R33</f>
        <v>0.34916559691912719</v>
      </c>
      <c r="W34" s="138">
        <f>W33/S33</f>
        <v>0.33590547383650837</v>
      </c>
      <c r="X34" s="138">
        <f>X33/T33</f>
        <v>0</v>
      </c>
      <c r="Y34" s="140">
        <f>Y33/Q33</f>
        <v>11.388138326464793</v>
      </c>
      <c r="Z34" s="66">
        <f>Z33/R33</f>
        <v>11.567548138639284</v>
      </c>
      <c r="AA34" s="66">
        <f>AA33/S33</f>
        <v>11.573715939233184</v>
      </c>
      <c r="AB34" s="66">
        <f>AB33/T33</f>
        <v>12.357842791681355</v>
      </c>
      <c r="AC34" s="140">
        <f>AC33/Q33</f>
        <v>83.614226841067904</v>
      </c>
      <c r="AD34" s="66">
        <f>AD33/R33</f>
        <v>84.640051347881908</v>
      </c>
      <c r="AE34" s="66">
        <f>AE33/S33</f>
        <v>76.976127320954916</v>
      </c>
      <c r="AF34" s="66">
        <f>AF33/T33</f>
        <v>81.098343320408887</v>
      </c>
      <c r="AG34" s="140">
        <f>AG33/Q33</f>
        <v>145.16126142268413</v>
      </c>
      <c r="AH34" s="140">
        <f>AH33/R33</f>
        <v>156.11476251604623</v>
      </c>
      <c r="AI34" s="140">
        <f>AI33/S33</f>
        <v>133.62961176754283</v>
      </c>
      <c r="AJ34" s="140">
        <f>AJ33/T33</f>
        <v>131.30207966161439</v>
      </c>
      <c r="AK34" s="66">
        <f>AK33/Q33</f>
        <v>425.73427701128833</v>
      </c>
      <c r="AL34" s="66">
        <f>AL33/R33</f>
        <v>378.76379974326068</v>
      </c>
      <c r="AM34" s="66">
        <f>AM33/S33</f>
        <v>365.04557511454067</v>
      </c>
      <c r="AN34" s="66">
        <f>AN33/T33</f>
        <v>251.01868170602751</v>
      </c>
      <c r="AO34" s="66">
        <f>AO33/Q33</f>
        <v>6.5935853789643453</v>
      </c>
      <c r="AP34" s="66">
        <f>AP33/R33</f>
        <v>7.3580487804878061</v>
      </c>
      <c r="AQ34" s="66">
        <f>AQ33/S33</f>
        <v>5.9648661683144457</v>
      </c>
      <c r="AR34" s="66">
        <f>AR33/T33</f>
        <v>5.9193514275643295</v>
      </c>
      <c r="AS34" s="66">
        <f>AS33/Q33</f>
        <v>4.7277907185092269</v>
      </c>
      <c r="AT34" s="66">
        <f>AT33/R33</f>
        <v>5.2801540436457</v>
      </c>
      <c r="AU34" s="66">
        <f>AU33/S33</f>
        <v>4.9883289124668444</v>
      </c>
      <c r="AV34" s="66">
        <f>AV33/T33</f>
        <v>6.0555163905534002</v>
      </c>
      <c r="AW34" s="67">
        <f>AW33/Q33</f>
        <v>1.5278623902526431</v>
      </c>
      <c r="AX34" s="67">
        <f>AX33/R33</f>
        <v>1.4287548138639283</v>
      </c>
      <c r="AY34" s="67">
        <f>AY33/S33</f>
        <v>1.26428743670123</v>
      </c>
      <c r="AZ34" s="67">
        <f>AZ33/T33</f>
        <v>1.3923158265773705</v>
      </c>
      <c r="BA34" s="66">
        <f>BA33/Q33</f>
        <v>32.037448485934426</v>
      </c>
      <c r="BB34" s="66">
        <f>BB33/R33</f>
        <v>32.789473684210535</v>
      </c>
      <c r="BC34" s="66">
        <f>BC33/S33</f>
        <v>0</v>
      </c>
      <c r="BD34" s="66">
        <f>BD33/T33</f>
        <v>0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98</v>
      </c>
      <c r="R35" s="27"/>
      <c r="S35" s="27"/>
      <c r="T35" s="27"/>
      <c r="U35" s="22" t="s">
        <v>61</v>
      </c>
      <c r="V35" s="22"/>
      <c r="W35" s="22"/>
      <c r="X35" s="22"/>
      <c r="Y35" s="81" t="s">
        <v>38</v>
      </c>
      <c r="Z35" s="81"/>
      <c r="AA35" s="81"/>
      <c r="AB35" s="81"/>
      <c r="AC35" s="139" t="s">
        <v>39</v>
      </c>
      <c r="AD35" s="139"/>
      <c r="AE35" s="139"/>
      <c r="AF35" s="139"/>
      <c r="AG35" s="68">
        <f t="shared" ref="AG35:AV35" si="47">AG34/1000</f>
        <v>0.14516126142268412</v>
      </c>
      <c r="AH35" s="68">
        <f t="shared" si="47"/>
        <v>0.15611476251604622</v>
      </c>
      <c r="AI35" s="68">
        <f t="shared" si="47"/>
        <v>0.13362961176754282</v>
      </c>
      <c r="AJ35" s="68">
        <f t="shared" si="47"/>
        <v>0.13130207966161439</v>
      </c>
      <c r="AK35" s="68">
        <f t="shared" si="47"/>
        <v>0.42573427701128835</v>
      </c>
      <c r="AL35" s="68">
        <f t="shared" si="47"/>
        <v>0.37876379974326069</v>
      </c>
      <c r="AM35" s="68">
        <f t="shared" si="47"/>
        <v>0.36504557511454067</v>
      </c>
      <c r="AN35" s="68">
        <f t="shared" si="47"/>
        <v>0.25101868170602748</v>
      </c>
      <c r="AO35" s="68">
        <f t="shared" si="47"/>
        <v>6.593585378964345E-3</v>
      </c>
      <c r="AP35" s="68">
        <f t="shared" si="47"/>
        <v>7.3580487804878062E-3</v>
      </c>
      <c r="AQ35" s="68">
        <f t="shared" si="47"/>
        <v>5.9648661683144458E-3</v>
      </c>
      <c r="AR35" s="68">
        <f t="shared" si="47"/>
        <v>5.9193514275643292E-3</v>
      </c>
      <c r="AS35" s="68">
        <f t="shared" si="47"/>
        <v>4.7277907185092269E-3</v>
      </c>
      <c r="AT35" s="68">
        <f t="shared" si="47"/>
        <v>5.2801540436457003E-3</v>
      </c>
      <c r="AU35" s="68">
        <f t="shared" si="47"/>
        <v>4.9883289124668445E-3</v>
      </c>
      <c r="AV35" s="68">
        <f t="shared" si="47"/>
        <v>6.0555163905533999E-3</v>
      </c>
      <c r="AW35" s="23"/>
      <c r="AX35" s="23"/>
      <c r="AY35" s="23"/>
      <c r="AZ35" s="23"/>
      <c r="BA35" s="68">
        <f>BA34/1000</f>
        <v>3.2037448485934428E-2</v>
      </c>
      <c r="BB35" s="68">
        <f>BB34/1000</f>
        <v>3.2789473684210535E-2</v>
      </c>
      <c r="BC35" s="68">
        <f>BC34/1000</f>
        <v>0</v>
      </c>
      <c r="BD35" s="68">
        <f>BD34/1000</f>
        <v>0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82</v>
      </c>
      <c r="U38" s="11" t="s">
        <v>83</v>
      </c>
      <c r="V38" s="11" t="s">
        <v>84</v>
      </c>
      <c r="W38" s="3"/>
      <c r="X38" s="13" t="s">
        <v>41</v>
      </c>
      <c r="Y38" s="46" t="s">
        <v>42</v>
      </c>
      <c r="Z38" s="46" t="s">
        <v>43</v>
      </c>
      <c r="AB38" s="4"/>
      <c r="AC38" s="4"/>
      <c r="AD38" s="4"/>
      <c r="AE38" s="4"/>
    </row>
    <row r="39" spans="1:64" x14ac:dyDescent="0.25">
      <c r="A39" s="1" t="s">
        <v>45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85</v>
      </c>
      <c r="Z39" s="69" t="s">
        <v>86</v>
      </c>
      <c r="AB39" s="4"/>
      <c r="AC39" s="4"/>
      <c r="AD39" s="4"/>
      <c r="AE39" s="4"/>
    </row>
    <row r="40" spans="1:64" x14ac:dyDescent="0.25">
      <c r="A40" s="1" t="s">
        <v>46</v>
      </c>
      <c r="B40" s="162">
        <f>F4</f>
        <v>37917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B43" s="131" t="s">
        <v>76</v>
      </c>
      <c r="C43" s="111" t="s">
        <v>77</v>
      </c>
      <c r="D43" s="131" t="s">
        <v>78</v>
      </c>
      <c r="E43" s="111" t="s">
        <v>79</v>
      </c>
      <c r="F43" s="132" t="s">
        <v>55</v>
      </c>
      <c r="K43" s="131" t="s">
        <v>76</v>
      </c>
      <c r="L43" s="111" t="s">
        <v>77</v>
      </c>
      <c r="M43" s="131" t="s">
        <v>78</v>
      </c>
      <c r="N43" s="111" t="s">
        <v>79</v>
      </c>
      <c r="O43" s="132" t="s">
        <v>55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106</v>
      </c>
      <c r="B45" s="122">
        <f>Q33/B10</f>
        <v>3.9864285714285712</v>
      </c>
      <c r="C45" s="122">
        <f>R33/C10</f>
        <v>3.8949999999999996</v>
      </c>
      <c r="D45" s="122">
        <f>S33/D10</f>
        <v>4.1469999999999994</v>
      </c>
      <c r="E45" s="122">
        <f>T33/E10</f>
        <v>2.8369999999999997</v>
      </c>
      <c r="F45" s="147"/>
      <c r="G45" s="15"/>
      <c r="H45" s="15" t="s">
        <v>47</v>
      </c>
      <c r="K45" s="121">
        <f>AO33/AS33</f>
        <v>1.3946440888659815</v>
      </c>
      <c r="L45" s="121">
        <f>AP33/AT33</f>
        <v>1.3935291886687868</v>
      </c>
      <c r="M45" s="121">
        <f>AQ33/AU33</f>
        <v>1.1957644078775633</v>
      </c>
      <c r="N45" s="121">
        <f>AR33/AV33</f>
        <v>0.9775138973776889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107</v>
      </c>
      <c r="B46" s="124">
        <f>B45/B11</f>
        <v>2.6576190476190475E-2</v>
      </c>
      <c r="C46" s="124">
        <f>C45/C11</f>
        <v>1.498076923076923E-2</v>
      </c>
      <c r="D46" s="124">
        <f>D45/D11</f>
        <v>1.1848571428571427E-2</v>
      </c>
      <c r="E46" s="124">
        <f>E45/E11</f>
        <v>5.6739999999999994E-3</v>
      </c>
      <c r="F46" s="148" t="s">
        <v>125</v>
      </c>
      <c r="G46" s="15"/>
      <c r="H46" s="123" t="s">
        <v>122</v>
      </c>
      <c r="K46" s="5">
        <f>AO33/B10-W15</f>
        <v>-0.71514285714285464</v>
      </c>
      <c r="L46" s="5">
        <f>AP33/C10-W16</f>
        <v>-1.3403999999999989</v>
      </c>
      <c r="M46" s="5">
        <f>AQ33/D10-X17</f>
        <v>4.7363</v>
      </c>
      <c r="N46" s="5">
        <f>AR33/E10-W18</f>
        <v>-23.206799999999998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108</v>
      </c>
      <c r="B47" s="122">
        <f>U33/B10</f>
        <v>1.8114285714285714</v>
      </c>
      <c r="C47" s="122">
        <f>V33/C10</f>
        <v>1.36</v>
      </c>
      <c r="D47" s="122">
        <f>W33/D10</f>
        <v>1.393</v>
      </c>
      <c r="E47" s="122">
        <f>X33/E10</f>
        <v>0</v>
      </c>
      <c r="F47" s="149"/>
      <c r="G47" s="15"/>
      <c r="H47" s="123" t="s">
        <v>121</v>
      </c>
      <c r="K47" s="5">
        <f>AS33/B10-X15</f>
        <v>5.8469999999999978</v>
      </c>
      <c r="L47" s="5">
        <f>AT33/C10-X16</f>
        <v>5.5661999999999985</v>
      </c>
      <c r="M47" s="5">
        <f>AU33/D10-X17</f>
        <v>0.68659999999999854</v>
      </c>
      <c r="N47" s="5">
        <f>AV33/E10-X18</f>
        <v>-15.820500000000003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109</v>
      </c>
      <c r="B48" s="122">
        <f>B45-B47</f>
        <v>2.1749999999999998</v>
      </c>
      <c r="C48" s="122">
        <f>C45-C47</f>
        <v>2.5349999999999993</v>
      </c>
      <c r="D48" s="122">
        <f>D45-D47</f>
        <v>2.7539999999999996</v>
      </c>
      <c r="E48" s="122">
        <f>E45-E47</f>
        <v>2.8369999999999997</v>
      </c>
      <c r="F48" s="148"/>
      <c r="G48" s="15"/>
      <c r="H48" s="15" t="s">
        <v>56</v>
      </c>
      <c r="K48" s="143">
        <f>AO33/Q33/1000</f>
        <v>6.593585378964345E-3</v>
      </c>
      <c r="L48" s="143">
        <f>AP33/R33/1000</f>
        <v>7.3580487804878062E-3</v>
      </c>
      <c r="M48" s="143">
        <f>AQ33/S33/1000</f>
        <v>5.9648661683144458E-3</v>
      </c>
      <c r="N48" s="143">
        <f>AR33/T33/1000</f>
        <v>5.9193514275643292E-3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111</v>
      </c>
      <c r="B49" s="125">
        <f>B47/B45</f>
        <v>0.45439885325210538</v>
      </c>
      <c r="C49" s="125">
        <f>C47/C45</f>
        <v>0.34916559691912713</v>
      </c>
      <c r="D49" s="125">
        <f>D47/D45</f>
        <v>0.33590547383650837</v>
      </c>
      <c r="E49" s="125">
        <f>E47/E45</f>
        <v>0</v>
      </c>
      <c r="F49" s="148" t="s">
        <v>113</v>
      </c>
      <c r="G49" s="15"/>
      <c r="H49" s="15" t="s">
        <v>57</v>
      </c>
      <c r="I49" s="15"/>
      <c r="J49" s="15"/>
      <c r="K49" s="143">
        <f>AS33/Q33/1000</f>
        <v>4.7277907185092269E-3</v>
      </c>
      <c r="L49" s="143">
        <f>AT33/R33/1000</f>
        <v>5.2801540436457003E-3</v>
      </c>
      <c r="M49" s="143">
        <f>AU33/S33/1000</f>
        <v>4.9883289124668445E-3</v>
      </c>
      <c r="N49" s="143">
        <f>AV33/T33/1000</f>
        <v>6.0555163905533999E-3</v>
      </c>
      <c r="O49" s="154" t="s">
        <v>116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110</v>
      </c>
      <c r="B50" s="110">
        <f>B48/B12</f>
        <v>2.4166666666666665</v>
      </c>
      <c r="C50" s="110">
        <f>C48/C12</f>
        <v>2.816666666666666</v>
      </c>
      <c r="D50" s="110">
        <f>D48/D12</f>
        <v>3.0599999999999996</v>
      </c>
      <c r="E50" s="110">
        <f>E48/E12</f>
        <v>3.5462499999999997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95</v>
      </c>
      <c r="B52" s="119">
        <f>Y33/B10/B12</f>
        <v>50.442222222222227</v>
      </c>
      <c r="C52" s="119">
        <f>Z33/C10/C12</f>
        <v>50.061777777777785</v>
      </c>
      <c r="D52" s="119">
        <f>AA33/D10/D12</f>
        <v>53.329111111111111</v>
      </c>
      <c r="E52" s="119">
        <f>AB33/E10/E12</f>
        <v>43.823999999999991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35</v>
      </c>
      <c r="B53" s="124">
        <f>AG35</f>
        <v>0.14516126142268412</v>
      </c>
      <c r="C53" s="124">
        <f>AH35</f>
        <v>0.15611476251604622</v>
      </c>
      <c r="D53" s="124">
        <f>AI35</f>
        <v>0.13362961176754282</v>
      </c>
      <c r="E53" s="124">
        <f>AJ35</f>
        <v>0.13130207966161439</v>
      </c>
      <c r="F53" s="152" t="s">
        <v>112</v>
      </c>
      <c r="G53" s="15"/>
      <c r="H53" s="130" t="s">
        <v>87</v>
      </c>
      <c r="K53" s="146">
        <f>AW33/Q33</f>
        <v>1.5278623902526431</v>
      </c>
      <c r="L53" s="146">
        <f>AX33/R33</f>
        <v>1.4287548138639283</v>
      </c>
      <c r="M53" s="146">
        <f>AY33/S33</f>
        <v>1.26428743670123</v>
      </c>
      <c r="N53" s="146">
        <f>AZ33/T33</f>
        <v>1.3923158265773705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96</v>
      </c>
      <c r="B54" s="122">
        <f>AG33/Y33</f>
        <v>12.746706903387816</v>
      </c>
      <c r="C54" s="122">
        <f>AH33/Z33</f>
        <v>13.495925034845834</v>
      </c>
      <c r="D54" s="122">
        <f>AI33/AA33</f>
        <v>11.545955721494616</v>
      </c>
      <c r="E54" s="122">
        <f>AJ33/AB33</f>
        <v>10.624999999999998</v>
      </c>
      <c r="F54" s="153" t="s">
        <v>114</v>
      </c>
      <c r="G54" s="15"/>
      <c r="H54" s="130" t="s">
        <v>88</v>
      </c>
      <c r="K54" s="146">
        <f>AW33/B10</f>
        <v>6.0907142857142862</v>
      </c>
      <c r="L54" s="146">
        <f>AX33/C10</f>
        <v>5.5650000000000004</v>
      </c>
      <c r="M54" s="146">
        <f>AY33/D10</f>
        <v>5.2430000000000003</v>
      </c>
      <c r="N54" s="146">
        <f>AZ33/E10</f>
        <v>3.95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7.3422208656139656</v>
      </c>
      <c r="C55" s="122">
        <f>AD33/Z33</f>
        <v>7.3170260744502338</v>
      </c>
      <c r="D55" s="122">
        <f>AE33/AA33</f>
        <v>6.6509431996699728</v>
      </c>
      <c r="E55" s="122">
        <f>AF33/AB33</f>
        <v>6.5625</v>
      </c>
      <c r="F55" s="153" t="s">
        <v>115</v>
      </c>
      <c r="G55" s="15"/>
      <c r="H55" s="130" t="s">
        <v>89</v>
      </c>
      <c r="K55" s="146">
        <f>K54/B12</f>
        <v>6.7674603174603174</v>
      </c>
      <c r="L55" s="146">
        <f>L54/C12</f>
        <v>6.1833333333333336</v>
      </c>
      <c r="M55" s="146">
        <f>M54/D12</f>
        <v>5.8255555555555558</v>
      </c>
      <c r="N55" s="146">
        <f>N54/E12</f>
        <v>4.9375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36</v>
      </c>
      <c r="B56" s="125">
        <f>AK35</f>
        <v>0.42573427701128835</v>
      </c>
      <c r="C56" s="125">
        <f>AL35</f>
        <v>0.37876379974326069</v>
      </c>
      <c r="D56" s="125">
        <f>AM35</f>
        <v>0.36504557511454067</v>
      </c>
      <c r="E56" s="125">
        <f>AN35</f>
        <v>0.25101868170602748</v>
      </c>
      <c r="F56" s="154" t="s">
        <v>127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99</v>
      </c>
      <c r="B57" s="124">
        <f>AK33/B10/B11/1000</f>
        <v>1.1314395238095239E-2</v>
      </c>
      <c r="C57" s="124">
        <f>AL33/C10/C11/1000</f>
        <v>5.6741730769230784E-3</v>
      </c>
      <c r="D57" s="124">
        <f>AM33/D10/D11/1000</f>
        <v>4.3252685714285704E-3</v>
      </c>
      <c r="E57" s="124">
        <f>AN33/E10/E11/1000</f>
        <v>1.42428E-3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11.388138326464793</v>
      </c>
      <c r="C58" s="145">
        <f>Z33/R33</f>
        <v>11.567548138639284</v>
      </c>
      <c r="D58" s="145">
        <f>AA33/S33</f>
        <v>11.573715939233184</v>
      </c>
      <c r="E58" s="145">
        <f>AB33/T33</f>
        <v>12.357842791681355</v>
      </c>
      <c r="F58" s="154"/>
      <c r="G58" s="15"/>
      <c r="H58" s="127" t="s">
        <v>53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97</v>
      </c>
      <c r="I59" s="15"/>
      <c r="J59" s="15"/>
      <c r="K59" s="128">
        <f>((B13-B11)*0.0256)/(AG33/1000/6.25/B10*B14)</f>
        <v>0.24884434267939684</v>
      </c>
      <c r="L59" s="128">
        <f>((C13-C11)*0.0256)/(AH33/1000/6.25/C10*C14)</f>
        <v>0.2368160087621923</v>
      </c>
      <c r="M59" s="128">
        <f>((D13-D11)*0.0256)/(AI33/1000/6.25/D10*D14)</f>
        <v>0.25985181228593801</v>
      </c>
      <c r="N59" s="128">
        <f>((E13-E11)*0.0256)/(AJ33/1000/6.25/E10*E14)</f>
        <v>0.34362047118957112</v>
      </c>
      <c r="O59" s="157" t="s">
        <v>117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105</v>
      </c>
      <c r="K60" s="48">
        <f>BA35</f>
        <v>3.2037448485934428E-2</v>
      </c>
      <c r="L60" s="48">
        <f>BB35</f>
        <v>3.2789473684210535E-2</v>
      </c>
      <c r="M60" s="48">
        <f>BC35</f>
        <v>0</v>
      </c>
      <c r="N60" s="48">
        <f>BD35</f>
        <v>0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0.93685251477017462</v>
      </c>
      <c r="C62" s="142">
        <f>Z33/C10/T16</f>
        <v>0.68757476804508588</v>
      </c>
      <c r="D62" s="142">
        <f>AA33/D10/T17</f>
        <v>0.61041661399505232</v>
      </c>
      <c r="E62" s="142">
        <f>AB33/E10/T18</f>
        <v>0.37870443385520408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81</v>
      </c>
      <c r="B63" s="42">
        <f>AG33/B10/U15</f>
        <v>0.91158659675398612</v>
      </c>
      <c r="C63" s="42">
        <f>AH33/C10/U16</f>
        <v>0.79995323494724069</v>
      </c>
      <c r="D63" s="42">
        <f>AI33/D10/U17</f>
        <v>0.63494082854518441</v>
      </c>
      <c r="E63" s="42">
        <f>AJ33/E10/U18</f>
        <v>0.38689755862610992</v>
      </c>
      <c r="F63" s="156">
        <v>1</v>
      </c>
      <c r="G63" s="15"/>
      <c r="H63" s="127" t="s">
        <v>62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0.94876939061358512</v>
      </c>
      <c r="C64" s="123">
        <f>AD33/C10/V16</f>
        <v>0.74533370458073556</v>
      </c>
      <c r="D64" s="123">
        <f>AE33/D10/V17</f>
        <v>0.6245917273563022</v>
      </c>
      <c r="E64" s="123">
        <f>AF33/E10/V18</f>
        <v>0.38234582264227335</v>
      </c>
      <c r="F64" s="156">
        <v>1</v>
      </c>
      <c r="G64" s="15"/>
      <c r="H64" s="15" t="s">
        <v>63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64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104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100</v>
      </c>
      <c r="B68" s="5">
        <f>Y33/B10-T5</f>
        <v>24.02077378531586</v>
      </c>
      <c r="C68" s="5">
        <f>Z33/C10-T6</f>
        <v>12.762263375754472</v>
      </c>
      <c r="D68" s="5">
        <f>AA33/D10-T7</f>
        <v>7.637799854869769</v>
      </c>
      <c r="E68" s="5">
        <f>AB33/E10-T8</f>
        <v>-17.677191764098147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119</v>
      </c>
      <c r="B69" s="71">
        <f>((0.435*B68)/(6.28+0.0188*B11))/(1+(((0.435*B68)/(6.28+0.0188*B11))*0.3))/1.05</f>
        <v>0.81337952669575542</v>
      </c>
      <c r="C69" s="71">
        <f>((0.435*C68)/(6.28+0.0188*C11))/(1+(((0.435*C68)/(6.28+0.0188*C11))*0.3))/1.05</f>
        <v>0.41198687384912513</v>
      </c>
      <c r="D69" s="71">
        <f>((0.435*D68)/(6.28+0.0188*D11))/(1+(((0.435*D68)/(6.28+0.0188*D11))*0.3))/1.05</f>
        <v>0.22835334963921722</v>
      </c>
      <c r="E69" s="71">
        <f>((0.435*E68)/(6.28+0.0188*E11))/(1+(((0.435*E68)/(6.28+0.0188*E11))*0.3))/1.05</f>
        <v>-0.54762123355096592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118</v>
      </c>
      <c r="B70" s="162">
        <f>F4+((B13-B11)/B69)</f>
        <v>38408.775348249721</v>
      </c>
      <c r="C70" s="162">
        <f>G4+((C13-C11)/C69)</f>
        <v>703.90592129933179</v>
      </c>
      <c r="D70" s="162">
        <f>H4+((D13-D11)/D69)</f>
        <v>875.83563068370324</v>
      </c>
      <c r="E70" s="162">
        <f>I4+((E13-E11)/E69)</f>
        <v>-182.60796673563101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Y21:AB21"/>
    <mergeCell ref="F5:H5"/>
    <mergeCell ref="AO21:AR21"/>
    <mergeCell ref="AS21:AV21"/>
    <mergeCell ref="AC21:AF21"/>
    <mergeCell ref="U21:X21"/>
    <mergeCell ref="AG21:AJ21"/>
    <mergeCell ref="AK21:AN21"/>
    <mergeCell ref="C8:D8"/>
    <mergeCell ref="E8:F8"/>
    <mergeCell ref="B20:E20"/>
    <mergeCell ref="G20:M20"/>
    <mergeCell ref="F4:G4"/>
    <mergeCell ref="Q21:T21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N85"/>
  <sheetViews>
    <sheetView zoomScale="80" zoomScaleNormal="80" workbookViewId="0">
      <selection activeCell="F5" sqref="F5:H5"/>
    </sheetView>
  </sheetViews>
  <sheetFormatPr defaultColWidth="9.109375" defaultRowHeight="15" x14ac:dyDescent="0.25"/>
  <cols>
    <col min="1" max="1" width="30.88671875" style="1" customWidth="1"/>
    <col min="2" max="2" width="9.44140625" style="2" customWidth="1"/>
    <col min="3" max="3" width="8.33203125" style="2" customWidth="1"/>
    <col min="4" max="5" width="9.44140625" style="2" customWidth="1"/>
    <col min="6" max="6" width="8.6640625" style="1" customWidth="1"/>
    <col min="7" max="7" width="5.88671875" style="1" customWidth="1"/>
    <col min="8" max="8" width="8.5546875" style="1" customWidth="1"/>
    <col min="9" max="9" width="6.109375" style="1" customWidth="1"/>
    <col min="10" max="10" width="7.88671875" style="1" customWidth="1"/>
    <col min="11" max="12" width="9.33203125" style="1" customWidth="1"/>
    <col min="13" max="13" width="9.44140625" style="1" customWidth="1"/>
    <col min="14" max="14" width="9.3320312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4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6640625" style="1" customWidth="1"/>
    <col min="28" max="29" width="6.5546875" style="1" customWidth="1"/>
    <col min="30" max="38" width="9.109375" style="1" customWidth="1"/>
    <col min="39" max="40" width="9.6640625" style="1" bestFit="1" customWidth="1"/>
    <col min="41" max="48" width="9.33203125" style="1" bestFit="1" customWidth="1"/>
    <col min="49" max="49" width="9.88671875" style="1" bestFit="1" customWidth="1"/>
    <col min="50" max="54" width="9.33203125" style="1" bestFit="1" customWidth="1"/>
    <col min="55" max="16384" width="9.109375" style="1"/>
  </cols>
  <sheetData>
    <row r="2" spans="1:31" ht="28.2" x14ac:dyDescent="0.4">
      <c r="A2" s="10" t="s">
        <v>7</v>
      </c>
      <c r="L2" s="99" t="s">
        <v>44</v>
      </c>
      <c r="M2" s="79"/>
      <c r="N2" s="79"/>
      <c r="Q2" s="93" t="s">
        <v>75</v>
      </c>
      <c r="R2" s="52"/>
      <c r="S2" s="22"/>
      <c r="T2" s="168" t="s">
        <v>124</v>
      </c>
      <c r="U2" s="2"/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59</v>
      </c>
      <c r="N3" s="2"/>
      <c r="Q3" s="2"/>
      <c r="R3" s="22" t="s">
        <v>71</v>
      </c>
      <c r="S3" s="22" t="s">
        <v>23</v>
      </c>
      <c r="T3" s="22" t="s">
        <v>37</v>
      </c>
      <c r="U3" s="2" t="s">
        <v>81</v>
      </c>
      <c r="V3" s="22" t="s">
        <v>49</v>
      </c>
      <c r="W3" s="22" t="s">
        <v>50</v>
      </c>
      <c r="X3" s="22" t="s">
        <v>51</v>
      </c>
      <c r="AC3" s="4"/>
      <c r="AD3" s="4"/>
      <c r="AE3" s="4"/>
    </row>
    <row r="4" spans="1:31" ht="15.6" x14ac:dyDescent="0.3">
      <c r="A4" s="1" t="s">
        <v>8</v>
      </c>
      <c r="B4" s="169">
        <v>8</v>
      </c>
      <c r="C4" s="1"/>
      <c r="D4" s="1" t="s">
        <v>9</v>
      </c>
      <c r="E4" s="1"/>
      <c r="F4" s="182">
        <v>40147</v>
      </c>
      <c r="G4" s="183"/>
      <c r="H4" s="12"/>
      <c r="I4" s="16"/>
      <c r="L4" s="35" t="s">
        <v>136</v>
      </c>
      <c r="N4" s="16"/>
      <c r="O4" s="2"/>
      <c r="P4" s="2"/>
      <c r="Q4" s="163" t="s">
        <v>27</v>
      </c>
      <c r="R4" s="95"/>
      <c r="S4" s="164"/>
      <c r="T4" s="97">
        <f>R5*T5+R6*T6+R7*T7+R8*T8</f>
        <v>605.13289801565952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/>
      <c r="C5" s="14"/>
      <c r="D5" s="1" t="s">
        <v>92</v>
      </c>
      <c r="E5" s="1"/>
      <c r="F5" s="185"/>
      <c r="G5" s="185"/>
      <c r="H5" s="183"/>
      <c r="I5" s="16"/>
      <c r="L5" s="37" t="s">
        <v>135</v>
      </c>
      <c r="N5" s="17"/>
      <c r="O5" s="2"/>
      <c r="P5" s="2"/>
      <c r="Q5" s="95" t="s">
        <v>76</v>
      </c>
      <c r="R5" s="164">
        <f>$B$10</f>
        <v>9</v>
      </c>
      <c r="S5" s="165">
        <f>$B$11</f>
        <v>500</v>
      </c>
      <c r="T5" s="59">
        <f>(($S5^0.75)*0.475)*0.9</f>
        <v>45.202621512084121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77</v>
      </c>
      <c r="R6" s="164">
        <f>$C$10</f>
        <v>5</v>
      </c>
      <c r="S6" s="164">
        <f>$C$11</f>
        <v>420</v>
      </c>
      <c r="T6" s="59">
        <f>(($S6^0.75)*0.475)*0.9</f>
        <v>39.661860881380484</v>
      </c>
      <c r="U6" s="59"/>
      <c r="V6" s="61"/>
      <c r="W6" s="60"/>
      <c r="X6" s="61"/>
      <c r="Y6" s="2"/>
      <c r="Z6" s="2" t="s">
        <v>101</v>
      </c>
      <c r="AA6" s="2" t="s">
        <v>102</v>
      </c>
      <c r="AB6" s="2" t="s">
        <v>103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78</v>
      </c>
      <c r="R7" s="61">
        <f>$D$10</f>
        <v>0</v>
      </c>
      <c r="S7" s="165">
        <f>$D$11</f>
        <v>350</v>
      </c>
      <c r="T7" s="59">
        <f>(($S7^0.75)*0.475)*0.9</f>
        <v>34.592914410111625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186"/>
      <c r="D8" s="187"/>
      <c r="E8" s="186"/>
      <c r="F8" s="188"/>
      <c r="G8" s="12"/>
      <c r="I8" s="16"/>
      <c r="J8" s="54"/>
      <c r="K8" s="12"/>
      <c r="L8" s="38"/>
      <c r="M8" s="19"/>
      <c r="N8" s="12"/>
      <c r="O8" s="12"/>
      <c r="Q8" s="166" t="s">
        <v>79</v>
      </c>
      <c r="R8" s="164">
        <f>$E$10</f>
        <v>0</v>
      </c>
      <c r="S8" s="167">
        <f>$E$11</f>
        <v>380</v>
      </c>
      <c r="T8" s="59">
        <f>(($S8^0.75)*0.475)*0.9</f>
        <v>36.793729952583689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68</v>
      </c>
      <c r="C9" s="100" t="s">
        <v>67</v>
      </c>
      <c r="D9" s="100" t="s">
        <v>69</v>
      </c>
      <c r="E9" s="100" t="s">
        <v>70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996.86520376175554</v>
      </c>
      <c r="U9" s="97">
        <f>$R$10*U10+$R$11*U11+$R$12*U12+$R$13*U13</f>
        <v>16873.420594667943</v>
      </c>
      <c r="V9" s="97">
        <f>$R$10*V10+$R$11*V11+$R$12*V12+$R$13*V13</f>
        <v>10412.987661553198</v>
      </c>
      <c r="W9" s="97">
        <f>$R$10*W10+$R$11*W11+$R$12*W12+$R$13*W13</f>
        <v>741</v>
      </c>
      <c r="X9" s="97">
        <f>$R$10*X10+$R$11*X11+$R$12*X12+$R$13*X13</f>
        <v>493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71</v>
      </c>
      <c r="B10" s="78">
        <v>9</v>
      </c>
      <c r="C10" s="78">
        <v>5</v>
      </c>
      <c r="D10" s="78">
        <v>0</v>
      </c>
      <c r="E10" s="78">
        <v>0</v>
      </c>
      <c r="F10" s="102">
        <f>SUM(B10:E10)</f>
        <v>14</v>
      </c>
      <c r="H10" s="85"/>
      <c r="O10" s="12"/>
      <c r="Q10" s="95" t="s">
        <v>76</v>
      </c>
      <c r="R10" s="164">
        <f>$B$10</f>
        <v>9</v>
      </c>
      <c r="S10" s="165">
        <f>$B$11</f>
        <v>500</v>
      </c>
      <c r="T10" s="60">
        <f>((B12*(6.28+0.0188*S10))/((1-0.3*B12)*0.522))*0.9</f>
        <v>73.730407523510976</v>
      </c>
      <c r="U10" s="59">
        <f>LOOKUP($S10,$T$39:$T$62,$U$39:$U$62)*(T10+T5)</f>
        <v>1236.9035019701892</v>
      </c>
      <c r="V10" s="59">
        <f>LOOKUP($S10,$T$39:$T$62,$V$39:$V$62)*(T10+T5)</f>
        <v>773.06468873136816</v>
      </c>
      <c r="W10" s="59">
        <f t="shared" ref="W10:X13" si="0">LOOKUP($S10,$X$40:$X$46,Y$40:Y$46)</f>
        <v>54</v>
      </c>
      <c r="X10" s="59">
        <f t="shared" si="0"/>
        <v>37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500</v>
      </c>
      <c r="C11" s="78">
        <v>420</v>
      </c>
      <c r="D11" s="78">
        <v>350</v>
      </c>
      <c r="E11" s="78">
        <v>380</v>
      </c>
      <c r="F11" s="103">
        <f>(B10*B11+C11*C10+D11*D10+E10*E11)/(B10+C10+D10+E10)</f>
        <v>471.42857142857144</v>
      </c>
      <c r="H11" s="12"/>
      <c r="O11" s="12"/>
      <c r="Q11" s="166" t="s">
        <v>77</v>
      </c>
      <c r="R11" s="164">
        <f>$C$10</f>
        <v>5</v>
      </c>
      <c r="S11" s="164">
        <f>$C$11</f>
        <v>420</v>
      </c>
      <c r="T11" s="60">
        <f>((C12*(6.28+0.0188*S11))/((1-0.3*C12)*0.522))*0.9</f>
        <v>66.658307210031339</v>
      </c>
      <c r="U11" s="59">
        <f>LOOKUP($S11,$T$39:$T$62,$U$39:$U$62)*(T11+T6)</f>
        <v>1148.2578153872478</v>
      </c>
      <c r="V11" s="59">
        <f>LOOKUP($S11,$T$39:$T$62,$V$39:$V$62)*(T11+T6)</f>
        <v>691.08109259417688</v>
      </c>
      <c r="W11" s="59">
        <f t="shared" si="0"/>
        <v>51</v>
      </c>
      <c r="X11" s="59">
        <f t="shared" si="0"/>
        <v>32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91</v>
      </c>
      <c r="B12" s="78">
        <v>1.5</v>
      </c>
      <c r="C12" s="105">
        <v>1.5</v>
      </c>
      <c r="D12" s="105">
        <v>1.5</v>
      </c>
      <c r="E12" s="78">
        <v>1.2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80</v>
      </c>
      <c r="R12" s="61">
        <f>$D$10</f>
        <v>0</v>
      </c>
      <c r="S12" s="165">
        <f>$D$11</f>
        <v>350</v>
      </c>
      <c r="T12" s="60">
        <f>((D12*(6.28+0.0188*S12))/((1-0.3*D12)*0.522))*0.9</f>
        <v>60.470219435736674</v>
      </c>
      <c r="U12" s="59">
        <f>LOOKUP($S12,$T$39:$T$62,$U$39:$U$62)*(T12+T7)</f>
        <v>1055.2007856889161</v>
      </c>
      <c r="V12" s="59">
        <f>LOOKUP($S12,$T$39:$T$62,$V$39:$V$62)*(T12+T7)</f>
        <v>617.91036999801395</v>
      </c>
      <c r="W12" s="59">
        <f t="shared" si="0"/>
        <v>46</v>
      </c>
      <c r="X12" s="59">
        <f t="shared" si="0"/>
        <v>25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72</v>
      </c>
      <c r="B13" s="78">
        <v>650</v>
      </c>
      <c r="C13" s="105">
        <v>640</v>
      </c>
      <c r="D13" s="105">
        <v>650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79</v>
      </c>
      <c r="R13" s="164">
        <f>$E$10</f>
        <v>0</v>
      </c>
      <c r="S13" s="167">
        <f>$E$11</f>
        <v>380</v>
      </c>
      <c r="T13" s="60">
        <f>((E12*(6.28+0.0188*S13))/((1-0.3*E12)*0.522))*0.9</f>
        <v>43.396551724137922</v>
      </c>
      <c r="U13" s="59">
        <f>LOOKUP($S13,$T$39:$T$62,$U$39:$U$62)*(T13+T8)</f>
        <v>866.05504210859351</v>
      </c>
      <c r="V13" s="59">
        <f>LOOKUP($S13,$T$39:$T$62,$V$39:$V$62)*(T13+T8)</f>
        <v>521.23683089869041</v>
      </c>
      <c r="W13" s="59">
        <f t="shared" si="0"/>
        <v>46</v>
      </c>
      <c r="X13" s="59">
        <f t="shared" si="0"/>
        <v>25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73</v>
      </c>
      <c r="B14" s="53">
        <f>(B13-B11)/B12</f>
        <v>100</v>
      </c>
      <c r="C14" s="53">
        <f>(C13-C11)/C12</f>
        <v>146.66666666666666</v>
      </c>
      <c r="D14" s="53">
        <f>(D13-D11)/D12</f>
        <v>200</v>
      </c>
      <c r="E14" s="53">
        <f>(E13-E11)/E12</f>
        <v>183.33333333333334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8" si="1">T4+T9</f>
        <v>1601.9981017774151</v>
      </c>
      <c r="U14" s="63">
        <f t="shared" si="1"/>
        <v>16873.420594667943</v>
      </c>
      <c r="V14" s="63">
        <f t="shared" si="1"/>
        <v>10412.987661553198</v>
      </c>
      <c r="W14" s="63">
        <f>W13+W11+W9+W6+W7</f>
        <v>838</v>
      </c>
      <c r="X14" s="64">
        <f>X13+X9</f>
        <v>518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74</v>
      </c>
      <c r="B15" s="161">
        <f>$F$4+B14</f>
        <v>40247</v>
      </c>
      <c r="C15" s="161">
        <f>$F$4+C14</f>
        <v>40293.666666666664</v>
      </c>
      <c r="D15" s="161">
        <f>$F$4+D14</f>
        <v>40347</v>
      </c>
      <c r="E15" s="161">
        <f>$F$4+E14</f>
        <v>40330.333333333336</v>
      </c>
      <c r="H15" s="56"/>
      <c r="I15" s="15"/>
      <c r="J15" s="15"/>
      <c r="K15" s="15"/>
      <c r="L15" s="15"/>
      <c r="M15" s="15"/>
      <c r="N15" s="15"/>
      <c r="O15" s="20"/>
      <c r="Q15" s="95" t="s">
        <v>76</v>
      </c>
      <c r="R15" s="164">
        <f>$B$10</f>
        <v>9</v>
      </c>
      <c r="S15" s="165">
        <f>$B$11</f>
        <v>500</v>
      </c>
      <c r="T15" s="59">
        <f t="shared" si="1"/>
        <v>118.9330290355951</v>
      </c>
      <c r="U15" s="59">
        <f t="shared" si="1"/>
        <v>1236.9035019701892</v>
      </c>
      <c r="V15" s="59">
        <f t="shared" si="1"/>
        <v>773.06468873136816</v>
      </c>
      <c r="W15" s="59">
        <f t="shared" ref="W15:X18" si="2">W5+W10</f>
        <v>54</v>
      </c>
      <c r="X15" s="59">
        <f t="shared" si="2"/>
        <v>37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77</v>
      </c>
      <c r="R16" s="164">
        <f>$C$10</f>
        <v>5</v>
      </c>
      <c r="S16" s="164">
        <f>$C$11</f>
        <v>420</v>
      </c>
      <c r="T16" s="59">
        <f t="shared" si="1"/>
        <v>106.32016809141183</v>
      </c>
      <c r="U16" s="59">
        <f t="shared" si="1"/>
        <v>1148.2578153872478</v>
      </c>
      <c r="V16" s="59">
        <f t="shared" si="1"/>
        <v>691.08109259417688</v>
      </c>
      <c r="W16" s="59">
        <f t="shared" si="2"/>
        <v>51</v>
      </c>
      <c r="X16" s="59">
        <f t="shared" si="2"/>
        <v>32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80</v>
      </c>
      <c r="R17" s="61">
        <f>$D$10</f>
        <v>0</v>
      </c>
      <c r="S17" s="165">
        <f>$D$11</f>
        <v>350</v>
      </c>
      <c r="T17" s="59">
        <f t="shared" si="1"/>
        <v>95.063133845848299</v>
      </c>
      <c r="U17" s="59">
        <f t="shared" si="1"/>
        <v>1055.2007856889161</v>
      </c>
      <c r="V17" s="59">
        <f t="shared" si="1"/>
        <v>617.91036999801395</v>
      </c>
      <c r="W17" s="59">
        <f t="shared" si="2"/>
        <v>46</v>
      </c>
      <c r="X17" s="59">
        <f t="shared" si="2"/>
        <v>25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79</v>
      </c>
      <c r="R18" s="164">
        <f>$E$10</f>
        <v>0</v>
      </c>
      <c r="S18" s="167">
        <f>$E$11</f>
        <v>380</v>
      </c>
      <c r="T18" s="59">
        <f t="shared" si="1"/>
        <v>80.190281676721611</v>
      </c>
      <c r="U18" s="59">
        <f t="shared" si="1"/>
        <v>866.05504210859351</v>
      </c>
      <c r="V18" s="59">
        <f t="shared" si="1"/>
        <v>521.23683089869041</v>
      </c>
      <c r="W18" s="59">
        <f t="shared" si="2"/>
        <v>46</v>
      </c>
      <c r="X18" s="59">
        <f t="shared" si="2"/>
        <v>25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191" t="s">
        <v>120</v>
      </c>
      <c r="C20" s="191"/>
      <c r="D20" s="191"/>
      <c r="E20" s="191"/>
      <c r="F20" s="2"/>
      <c r="G20" s="190" t="s">
        <v>94</v>
      </c>
      <c r="H20" s="190"/>
      <c r="I20" s="190"/>
      <c r="J20" s="190"/>
      <c r="K20" s="190"/>
      <c r="L20" s="190"/>
      <c r="M20" s="190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48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33</v>
      </c>
      <c r="K21" s="69" t="s">
        <v>34</v>
      </c>
      <c r="L21" s="69" t="s">
        <v>4</v>
      </c>
      <c r="M21" s="69" t="s">
        <v>5</v>
      </c>
      <c r="N21" s="69" t="s">
        <v>21</v>
      </c>
      <c r="O21" s="76" t="s">
        <v>60</v>
      </c>
      <c r="P21" s="76" t="s">
        <v>52</v>
      </c>
      <c r="Q21" s="184" t="s">
        <v>40</v>
      </c>
      <c r="R21" s="184"/>
      <c r="S21" s="184"/>
      <c r="T21" s="184"/>
      <c r="U21" s="179" t="s">
        <v>25</v>
      </c>
      <c r="V21" s="180"/>
      <c r="W21" s="180"/>
      <c r="X21" s="181"/>
      <c r="Y21" s="179" t="s">
        <v>37</v>
      </c>
      <c r="Z21" s="180"/>
      <c r="AA21" s="180"/>
      <c r="AB21" s="181"/>
      <c r="AC21" s="179" t="s">
        <v>1</v>
      </c>
      <c r="AD21" s="180"/>
      <c r="AE21" s="180"/>
      <c r="AF21" s="181"/>
      <c r="AG21" s="179" t="s">
        <v>33</v>
      </c>
      <c r="AH21" s="180"/>
      <c r="AI21" s="180"/>
      <c r="AJ21" s="180"/>
      <c r="AK21" s="179" t="s">
        <v>34</v>
      </c>
      <c r="AL21" s="180"/>
      <c r="AM21" s="180"/>
      <c r="AN21" s="180"/>
      <c r="AO21" s="179" t="s">
        <v>4</v>
      </c>
      <c r="AP21" s="180"/>
      <c r="AQ21" s="180"/>
      <c r="AR21" s="180"/>
      <c r="AS21" s="179" t="s">
        <v>5</v>
      </c>
      <c r="AT21" s="180"/>
      <c r="AU21" s="180"/>
      <c r="AV21" s="180"/>
      <c r="AW21" s="75" t="s">
        <v>65</v>
      </c>
      <c r="AX21" s="75"/>
      <c r="AY21" s="75"/>
      <c r="AZ21" s="75"/>
      <c r="BA21" s="77" t="s">
        <v>66</v>
      </c>
      <c r="BB21" s="77"/>
      <c r="BC21" s="77"/>
      <c r="BD21" s="77"/>
      <c r="BE21" s="2" t="s">
        <v>52</v>
      </c>
      <c r="BF21" s="2"/>
      <c r="BG21" s="2"/>
      <c r="BH21" s="2"/>
      <c r="BI21" s="1"/>
      <c r="BM21" s="1"/>
      <c r="BN21" s="1"/>
    </row>
    <row r="22" spans="1:66" x14ac:dyDescent="0.25">
      <c r="A22" s="114" t="s">
        <v>129</v>
      </c>
      <c r="B22" s="105">
        <v>68</v>
      </c>
      <c r="C22" s="105">
        <v>27</v>
      </c>
      <c r="D22" s="105">
        <v>0</v>
      </c>
      <c r="E22" s="105">
        <v>0</v>
      </c>
      <c r="F22" s="33">
        <v>1</v>
      </c>
      <c r="G22" s="6">
        <v>1</v>
      </c>
      <c r="H22" s="7">
        <v>10.5</v>
      </c>
      <c r="I22" s="8">
        <v>70</v>
      </c>
      <c r="J22" s="8">
        <v>111</v>
      </c>
      <c r="K22" s="8">
        <v>550</v>
      </c>
      <c r="L22" s="7">
        <v>3.5</v>
      </c>
      <c r="M22" s="7">
        <v>2.6</v>
      </c>
      <c r="N22" s="49">
        <v>1.3</v>
      </c>
      <c r="O22" s="9">
        <v>0</v>
      </c>
      <c r="P22" s="9">
        <v>1</v>
      </c>
      <c r="Q22" s="43">
        <f t="shared" ref="Q22:Q32" si="3">B22*$F22</f>
        <v>68</v>
      </c>
      <c r="R22" s="43">
        <f t="shared" ref="R22:R32" si="4">C22*$F22</f>
        <v>27</v>
      </c>
      <c r="S22" s="43">
        <f t="shared" ref="S22:S32" si="5">D22*$F22</f>
        <v>0</v>
      </c>
      <c r="T22" s="43">
        <f t="shared" ref="T22:T32" si="6">E22*$F22</f>
        <v>0</v>
      </c>
      <c r="U22" s="43">
        <f t="shared" ref="U22:U32" si="7">Q22*$G22</f>
        <v>68</v>
      </c>
      <c r="V22" s="43">
        <f t="shared" ref="V22:V32" si="8">R22*$G22</f>
        <v>27</v>
      </c>
      <c r="W22" s="43">
        <f t="shared" ref="W22:W32" si="9">S22*$G22</f>
        <v>0</v>
      </c>
      <c r="X22" s="43">
        <f t="shared" ref="X22:X32" si="10">T22*$G22</f>
        <v>0</v>
      </c>
      <c r="Y22" s="43">
        <f t="shared" ref="Y22:Y32" si="11">$H22*Q22</f>
        <v>714</v>
      </c>
      <c r="Z22" s="43">
        <f t="shared" ref="Z22:Z32" si="12">$H22*R22</f>
        <v>283.5</v>
      </c>
      <c r="AA22" s="43">
        <f t="shared" ref="AA22:AA32" si="13">$H22*S22</f>
        <v>0</v>
      </c>
      <c r="AB22" s="43">
        <f t="shared" ref="AB22:AB32" si="14">$H22*T22</f>
        <v>0</v>
      </c>
      <c r="AC22" s="43">
        <f t="shared" ref="AC22:AC32" si="15">Q22*$I22</f>
        <v>4760</v>
      </c>
      <c r="AD22" s="43">
        <f t="shared" ref="AD22:AD32" si="16">R22*$I22</f>
        <v>1890</v>
      </c>
      <c r="AE22" s="43">
        <f t="shared" ref="AE22:AE32" si="17">S22*$I22</f>
        <v>0</v>
      </c>
      <c r="AF22" s="43">
        <f t="shared" ref="AF22:AF32" si="18">T22*$I22</f>
        <v>0</v>
      </c>
      <c r="AG22" s="43">
        <f t="shared" ref="AG22:AG32" si="19">Q22*$J22</f>
        <v>7548</v>
      </c>
      <c r="AH22" s="43">
        <f t="shared" ref="AH22:AH32" si="20">R22*$J22</f>
        <v>2997</v>
      </c>
      <c r="AI22" s="43">
        <f t="shared" ref="AI22:AI32" si="21">S22*$J22</f>
        <v>0</v>
      </c>
      <c r="AJ22" s="43">
        <f t="shared" ref="AJ22:AJ32" si="22">T22*$J22</f>
        <v>0</v>
      </c>
      <c r="AK22" s="43">
        <f t="shared" ref="AK22:AK32" si="23">Q22*$K22</f>
        <v>37400</v>
      </c>
      <c r="AL22" s="43">
        <f t="shared" ref="AL22:AL32" si="24">R22*$K22</f>
        <v>14850</v>
      </c>
      <c r="AM22" s="43">
        <f t="shared" ref="AM22:AM32" si="25">S22*$K22</f>
        <v>0</v>
      </c>
      <c r="AN22" s="43">
        <f t="shared" ref="AN22:AN32" si="26">T22*$K22</f>
        <v>0</v>
      </c>
      <c r="AO22" s="43">
        <f t="shared" ref="AO22:AO32" si="27">Q22*$L22</f>
        <v>238</v>
      </c>
      <c r="AP22" s="43">
        <f t="shared" ref="AP22:AP32" si="28">R22*$L22</f>
        <v>94.5</v>
      </c>
      <c r="AQ22" s="43">
        <f t="shared" ref="AQ22:AQ32" si="29">S22*$L22</f>
        <v>0</v>
      </c>
      <c r="AR22" s="43">
        <f t="shared" ref="AR22:AR32" si="30">T22*$L22</f>
        <v>0</v>
      </c>
      <c r="AS22" s="43">
        <f t="shared" ref="AS22:AS32" si="31">Q22*$M22</f>
        <v>176.8</v>
      </c>
      <c r="AT22" s="43">
        <f t="shared" ref="AT22:AT32" si="32">R22*$M22</f>
        <v>70.2</v>
      </c>
      <c r="AU22" s="43">
        <f t="shared" ref="AU22:AU32" si="33">S22*$M22</f>
        <v>0</v>
      </c>
      <c r="AV22" s="43">
        <f t="shared" ref="AV22:AV32" si="34">T22*$M22</f>
        <v>0</v>
      </c>
      <c r="AW22" s="45">
        <f t="shared" ref="AW22:AW32" si="35">$N22*B22/100</f>
        <v>0.88400000000000001</v>
      </c>
      <c r="AX22" s="45">
        <f t="shared" ref="AX22:AX32" si="36">$N22*C22/100</f>
        <v>0.35100000000000003</v>
      </c>
      <c r="AY22" s="45">
        <f t="shared" ref="AY22:AY32" si="37">$N22*D22/100</f>
        <v>0</v>
      </c>
      <c r="AZ22" s="45">
        <f t="shared" ref="AZ22:AZ32" si="38">$N22*E22/100</f>
        <v>0</v>
      </c>
      <c r="BA22" s="45">
        <f t="shared" ref="BA22:BA32" si="39">$O22*AG22</f>
        <v>0</v>
      </c>
      <c r="BB22" s="45">
        <f t="shared" ref="BB22:BB32" si="40">$O22*AH22</f>
        <v>0</v>
      </c>
      <c r="BC22" s="45">
        <f t="shared" ref="BC22:BC32" si="41">$O22*AI22</f>
        <v>0</v>
      </c>
      <c r="BD22" s="45">
        <f t="shared" ref="BD22:BD32" si="42">$O22*AJ22</f>
        <v>0</v>
      </c>
      <c r="BE22" s="44">
        <f t="shared" ref="BE22:BE32" si="43">$P22*Q22</f>
        <v>68</v>
      </c>
      <c r="BF22" s="44">
        <f t="shared" ref="BF22:BF32" si="44">$P22*R22</f>
        <v>27</v>
      </c>
      <c r="BG22" s="44">
        <f t="shared" ref="BG22:BG32" si="45">$P22*S22</f>
        <v>0</v>
      </c>
      <c r="BH22" s="44">
        <f t="shared" ref="BH22:BH32" si="46">$P22*T22</f>
        <v>0</v>
      </c>
      <c r="BJ22" s="4"/>
      <c r="BK22" s="4"/>
      <c r="BL22" s="4"/>
    </row>
    <row r="23" spans="1:66" s="4" customFormat="1" x14ac:dyDescent="0.25">
      <c r="A23" s="114" t="s">
        <v>132</v>
      </c>
      <c r="B23" s="105"/>
      <c r="C23" s="105"/>
      <c r="D23" s="105">
        <v>0</v>
      </c>
      <c r="E23" s="105"/>
      <c r="F23" s="33">
        <v>0.28999999999999998</v>
      </c>
      <c r="G23" s="6">
        <v>1</v>
      </c>
      <c r="H23" s="7">
        <v>10.3</v>
      </c>
      <c r="I23" s="8">
        <v>70</v>
      </c>
      <c r="J23" s="8">
        <v>123</v>
      </c>
      <c r="K23" s="8">
        <v>570</v>
      </c>
      <c r="L23" s="7">
        <v>6</v>
      </c>
      <c r="M23" s="7">
        <v>2.7</v>
      </c>
      <c r="N23" s="49">
        <v>29</v>
      </c>
      <c r="O23" s="80">
        <v>0</v>
      </c>
      <c r="P23" s="80">
        <v>0</v>
      </c>
      <c r="Q23" s="43">
        <f t="shared" si="3"/>
        <v>0</v>
      </c>
      <c r="R23" s="43">
        <f t="shared" si="4"/>
        <v>0</v>
      </c>
      <c r="S23" s="43">
        <f t="shared" si="5"/>
        <v>0</v>
      </c>
      <c r="T23" s="43">
        <f t="shared" si="6"/>
        <v>0</v>
      </c>
      <c r="U23" s="43">
        <f t="shared" si="7"/>
        <v>0</v>
      </c>
      <c r="V23" s="43">
        <f t="shared" si="8"/>
        <v>0</v>
      </c>
      <c r="W23" s="43">
        <f t="shared" si="9"/>
        <v>0</v>
      </c>
      <c r="X23" s="43">
        <f t="shared" si="10"/>
        <v>0</v>
      </c>
      <c r="Y23" s="43">
        <f t="shared" si="11"/>
        <v>0</v>
      </c>
      <c r="Z23" s="43">
        <f t="shared" si="12"/>
        <v>0</v>
      </c>
      <c r="AA23" s="43">
        <f t="shared" si="13"/>
        <v>0</v>
      </c>
      <c r="AB23" s="43">
        <f t="shared" si="14"/>
        <v>0</v>
      </c>
      <c r="AC23" s="43">
        <f t="shared" si="15"/>
        <v>0</v>
      </c>
      <c r="AD23" s="43">
        <f t="shared" si="16"/>
        <v>0</v>
      </c>
      <c r="AE23" s="43">
        <f t="shared" si="17"/>
        <v>0</v>
      </c>
      <c r="AF23" s="43">
        <f t="shared" si="18"/>
        <v>0</v>
      </c>
      <c r="AG23" s="43">
        <f t="shared" si="19"/>
        <v>0</v>
      </c>
      <c r="AH23" s="43">
        <f t="shared" si="20"/>
        <v>0</v>
      </c>
      <c r="AI23" s="43">
        <f t="shared" si="21"/>
        <v>0</v>
      </c>
      <c r="AJ23" s="43">
        <f t="shared" si="22"/>
        <v>0</v>
      </c>
      <c r="AK23" s="43">
        <f t="shared" si="23"/>
        <v>0</v>
      </c>
      <c r="AL23" s="43">
        <f t="shared" si="24"/>
        <v>0</v>
      </c>
      <c r="AM23" s="43">
        <f t="shared" si="25"/>
        <v>0</v>
      </c>
      <c r="AN23" s="43">
        <f t="shared" si="26"/>
        <v>0</v>
      </c>
      <c r="AO23" s="43">
        <f t="shared" si="27"/>
        <v>0</v>
      </c>
      <c r="AP23" s="43">
        <f t="shared" si="28"/>
        <v>0</v>
      </c>
      <c r="AQ23" s="43">
        <f t="shared" si="29"/>
        <v>0</v>
      </c>
      <c r="AR23" s="43">
        <f t="shared" si="30"/>
        <v>0</v>
      </c>
      <c r="AS23" s="43">
        <f t="shared" si="31"/>
        <v>0</v>
      </c>
      <c r="AT23" s="43">
        <f t="shared" si="32"/>
        <v>0</v>
      </c>
      <c r="AU23" s="43">
        <f t="shared" si="33"/>
        <v>0</v>
      </c>
      <c r="AV23" s="43">
        <f t="shared" si="34"/>
        <v>0</v>
      </c>
      <c r="AW23" s="45">
        <f t="shared" si="35"/>
        <v>0</v>
      </c>
      <c r="AX23" s="45">
        <f t="shared" si="36"/>
        <v>0</v>
      </c>
      <c r="AY23" s="45">
        <f t="shared" si="37"/>
        <v>0</v>
      </c>
      <c r="AZ23" s="45">
        <f t="shared" si="38"/>
        <v>0</v>
      </c>
      <c r="BA23" s="45">
        <f t="shared" si="39"/>
        <v>0</v>
      </c>
      <c r="BB23" s="45">
        <f t="shared" si="40"/>
        <v>0</v>
      </c>
      <c r="BC23" s="45">
        <f t="shared" si="41"/>
        <v>0</v>
      </c>
      <c r="BD23" s="45">
        <f t="shared" si="42"/>
        <v>0</v>
      </c>
      <c r="BE23" s="44">
        <f t="shared" si="43"/>
        <v>0</v>
      </c>
      <c r="BF23" s="44">
        <f t="shared" si="44"/>
        <v>0</v>
      </c>
      <c r="BG23" s="44">
        <f t="shared" si="45"/>
        <v>0</v>
      </c>
      <c r="BH23" s="44">
        <f t="shared" si="46"/>
        <v>0</v>
      </c>
      <c r="BI23" s="1"/>
      <c r="BM23" s="1"/>
      <c r="BN23" s="1"/>
    </row>
    <row r="24" spans="1:66" s="4" customFormat="1" x14ac:dyDescent="0.25">
      <c r="A24" s="114" t="s">
        <v>28</v>
      </c>
      <c r="B24" s="105">
        <v>0</v>
      </c>
      <c r="C24" s="105"/>
      <c r="D24" s="105"/>
      <c r="E24" s="105"/>
      <c r="F24" s="33">
        <v>0.84</v>
      </c>
      <c r="G24" s="6">
        <v>1</v>
      </c>
      <c r="H24" s="7">
        <v>10</v>
      </c>
      <c r="I24" s="8">
        <v>70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si="3"/>
        <v>0</v>
      </c>
      <c r="R24" s="43">
        <f t="shared" si="4"/>
        <v>0</v>
      </c>
      <c r="S24" s="43">
        <f t="shared" si="5"/>
        <v>0</v>
      </c>
      <c r="T24" s="43">
        <f t="shared" si="6"/>
        <v>0</v>
      </c>
      <c r="U24" s="43">
        <f t="shared" si="7"/>
        <v>0</v>
      </c>
      <c r="V24" s="43">
        <f t="shared" si="8"/>
        <v>0</v>
      </c>
      <c r="W24" s="43">
        <f t="shared" si="9"/>
        <v>0</v>
      </c>
      <c r="X24" s="43">
        <f t="shared" si="10"/>
        <v>0</v>
      </c>
      <c r="Y24" s="43">
        <f t="shared" si="11"/>
        <v>0</v>
      </c>
      <c r="Z24" s="43">
        <f t="shared" si="12"/>
        <v>0</v>
      </c>
      <c r="AA24" s="43">
        <f t="shared" si="13"/>
        <v>0</v>
      </c>
      <c r="AB24" s="43">
        <f t="shared" si="14"/>
        <v>0</v>
      </c>
      <c r="AC24" s="43">
        <f t="shared" si="15"/>
        <v>0</v>
      </c>
      <c r="AD24" s="43">
        <f t="shared" si="16"/>
        <v>0</v>
      </c>
      <c r="AE24" s="43">
        <f t="shared" si="17"/>
        <v>0</v>
      </c>
      <c r="AF24" s="43">
        <f t="shared" si="18"/>
        <v>0</v>
      </c>
      <c r="AG24" s="43">
        <f t="shared" si="19"/>
        <v>0</v>
      </c>
      <c r="AH24" s="43">
        <f t="shared" si="20"/>
        <v>0</v>
      </c>
      <c r="AI24" s="43">
        <f t="shared" si="21"/>
        <v>0</v>
      </c>
      <c r="AJ24" s="43">
        <f t="shared" si="22"/>
        <v>0</v>
      </c>
      <c r="AK24" s="43">
        <f t="shared" si="23"/>
        <v>0</v>
      </c>
      <c r="AL24" s="43">
        <f t="shared" si="24"/>
        <v>0</v>
      </c>
      <c r="AM24" s="43">
        <f t="shared" si="25"/>
        <v>0</v>
      </c>
      <c r="AN24" s="43">
        <f t="shared" si="26"/>
        <v>0</v>
      </c>
      <c r="AO24" s="43">
        <f t="shared" si="27"/>
        <v>0</v>
      </c>
      <c r="AP24" s="43">
        <f t="shared" si="28"/>
        <v>0</v>
      </c>
      <c r="AQ24" s="43">
        <f t="shared" si="29"/>
        <v>0</v>
      </c>
      <c r="AR24" s="43">
        <f t="shared" si="30"/>
        <v>0</v>
      </c>
      <c r="AS24" s="43">
        <f t="shared" si="31"/>
        <v>0</v>
      </c>
      <c r="AT24" s="43">
        <f t="shared" si="32"/>
        <v>0</v>
      </c>
      <c r="AU24" s="43">
        <f t="shared" si="33"/>
        <v>0</v>
      </c>
      <c r="AV24" s="43">
        <f t="shared" si="34"/>
        <v>0</v>
      </c>
      <c r="AW24" s="45">
        <f t="shared" si="35"/>
        <v>0</v>
      </c>
      <c r="AX24" s="45">
        <f t="shared" si="36"/>
        <v>0</v>
      </c>
      <c r="AY24" s="45">
        <f t="shared" si="37"/>
        <v>0</v>
      </c>
      <c r="AZ24" s="45">
        <f t="shared" si="38"/>
        <v>0</v>
      </c>
      <c r="BA24" s="45">
        <f t="shared" si="39"/>
        <v>0</v>
      </c>
      <c r="BB24" s="45">
        <f t="shared" si="40"/>
        <v>0</v>
      </c>
      <c r="BC24" s="45">
        <f t="shared" si="41"/>
        <v>0</v>
      </c>
      <c r="BD24" s="45">
        <f t="shared" si="42"/>
        <v>0</v>
      </c>
      <c r="BE24" s="44">
        <f t="shared" si="43"/>
        <v>0</v>
      </c>
      <c r="BF24" s="44">
        <f t="shared" si="44"/>
        <v>0</v>
      </c>
      <c r="BG24" s="44">
        <f t="shared" si="45"/>
        <v>0</v>
      </c>
      <c r="BH24" s="44">
        <f t="shared" si="46"/>
        <v>0</v>
      </c>
    </row>
    <row r="25" spans="1:66" x14ac:dyDescent="0.25">
      <c r="A25" s="114" t="s">
        <v>32</v>
      </c>
      <c r="B25" s="105"/>
      <c r="C25" s="105"/>
      <c r="D25" s="105"/>
      <c r="E25" s="105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3"/>
        <v>0</v>
      </c>
      <c r="R25" s="43">
        <f t="shared" si="4"/>
        <v>0</v>
      </c>
      <c r="S25" s="43">
        <f t="shared" si="5"/>
        <v>0</v>
      </c>
      <c r="T25" s="43">
        <f t="shared" si="6"/>
        <v>0</v>
      </c>
      <c r="U25" s="43">
        <f t="shared" si="7"/>
        <v>0</v>
      </c>
      <c r="V25" s="43">
        <f t="shared" si="8"/>
        <v>0</v>
      </c>
      <c r="W25" s="43">
        <f t="shared" si="9"/>
        <v>0</v>
      </c>
      <c r="X25" s="43">
        <f t="shared" si="10"/>
        <v>0</v>
      </c>
      <c r="Y25" s="43">
        <f t="shared" si="11"/>
        <v>0</v>
      </c>
      <c r="Z25" s="43">
        <f t="shared" si="12"/>
        <v>0</v>
      </c>
      <c r="AA25" s="43">
        <f t="shared" si="13"/>
        <v>0</v>
      </c>
      <c r="AB25" s="43">
        <f t="shared" si="14"/>
        <v>0</v>
      </c>
      <c r="AC25" s="43">
        <f t="shared" si="15"/>
        <v>0</v>
      </c>
      <c r="AD25" s="43">
        <f t="shared" si="16"/>
        <v>0</v>
      </c>
      <c r="AE25" s="43">
        <f t="shared" si="17"/>
        <v>0</v>
      </c>
      <c r="AF25" s="43">
        <f t="shared" si="18"/>
        <v>0</v>
      </c>
      <c r="AG25" s="43">
        <f t="shared" si="19"/>
        <v>0</v>
      </c>
      <c r="AH25" s="43">
        <f t="shared" si="20"/>
        <v>0</v>
      </c>
      <c r="AI25" s="43">
        <f t="shared" si="21"/>
        <v>0</v>
      </c>
      <c r="AJ25" s="43">
        <f t="shared" si="22"/>
        <v>0</v>
      </c>
      <c r="AK25" s="43">
        <f t="shared" si="23"/>
        <v>0</v>
      </c>
      <c r="AL25" s="43">
        <f t="shared" si="24"/>
        <v>0</v>
      </c>
      <c r="AM25" s="43">
        <f t="shared" si="25"/>
        <v>0</v>
      </c>
      <c r="AN25" s="43">
        <f t="shared" si="26"/>
        <v>0</v>
      </c>
      <c r="AO25" s="43">
        <f t="shared" si="27"/>
        <v>0</v>
      </c>
      <c r="AP25" s="43">
        <f t="shared" si="28"/>
        <v>0</v>
      </c>
      <c r="AQ25" s="43">
        <f t="shared" si="29"/>
        <v>0</v>
      </c>
      <c r="AR25" s="43">
        <f t="shared" si="30"/>
        <v>0</v>
      </c>
      <c r="AS25" s="43">
        <f t="shared" si="31"/>
        <v>0</v>
      </c>
      <c r="AT25" s="43">
        <f t="shared" si="32"/>
        <v>0</v>
      </c>
      <c r="AU25" s="43">
        <f t="shared" si="33"/>
        <v>0</v>
      </c>
      <c r="AV25" s="43">
        <f t="shared" si="34"/>
        <v>0</v>
      </c>
      <c r="AW25" s="45">
        <f t="shared" si="35"/>
        <v>0</v>
      </c>
      <c r="AX25" s="45">
        <f t="shared" si="36"/>
        <v>0</v>
      </c>
      <c r="AY25" s="45">
        <f t="shared" si="37"/>
        <v>0</v>
      </c>
      <c r="AZ25" s="45">
        <f t="shared" si="38"/>
        <v>0</v>
      </c>
      <c r="BA25" s="45">
        <f t="shared" si="39"/>
        <v>0</v>
      </c>
      <c r="BB25" s="45">
        <f t="shared" si="40"/>
        <v>0</v>
      </c>
      <c r="BC25" s="45">
        <f t="shared" si="41"/>
        <v>0</v>
      </c>
      <c r="BD25" s="45">
        <f t="shared" si="42"/>
        <v>0</v>
      </c>
      <c r="BE25" s="44">
        <f t="shared" si="43"/>
        <v>0</v>
      </c>
      <c r="BF25" s="44">
        <f t="shared" si="44"/>
        <v>0</v>
      </c>
      <c r="BG25" s="44">
        <f t="shared" si="45"/>
        <v>0</v>
      </c>
      <c r="BH25" s="44">
        <f t="shared" si="46"/>
        <v>0</v>
      </c>
      <c r="BI25" s="4"/>
      <c r="BJ25" s="4"/>
      <c r="BK25" s="4"/>
      <c r="BL25" s="4"/>
    </row>
    <row r="26" spans="1:66" x14ac:dyDescent="0.25">
      <c r="A26" s="114" t="s">
        <v>137</v>
      </c>
      <c r="B26" s="105">
        <v>27</v>
      </c>
      <c r="C26" s="105">
        <v>15</v>
      </c>
      <c r="D26" s="105">
        <v>0</v>
      </c>
      <c r="E26" s="105">
        <v>0</v>
      </c>
      <c r="F26" s="33">
        <v>0.87</v>
      </c>
      <c r="G26" s="6">
        <v>0</v>
      </c>
      <c r="H26" s="7">
        <v>12.4</v>
      </c>
      <c r="I26" s="8">
        <v>78</v>
      </c>
      <c r="J26" s="8">
        <v>116</v>
      </c>
      <c r="K26" s="8">
        <v>277</v>
      </c>
      <c r="L26" s="7">
        <v>0.6</v>
      </c>
      <c r="M26" s="7">
        <v>4</v>
      </c>
      <c r="N26" s="49">
        <v>1.5</v>
      </c>
      <c r="O26" s="80">
        <v>0</v>
      </c>
      <c r="P26" s="80">
        <v>1</v>
      </c>
      <c r="Q26" s="43">
        <f t="shared" si="3"/>
        <v>23.49</v>
      </c>
      <c r="R26" s="43">
        <f t="shared" si="4"/>
        <v>13.05</v>
      </c>
      <c r="S26" s="43">
        <f t="shared" si="5"/>
        <v>0</v>
      </c>
      <c r="T26" s="43">
        <f t="shared" si="6"/>
        <v>0</v>
      </c>
      <c r="U26" s="43">
        <f t="shared" si="7"/>
        <v>0</v>
      </c>
      <c r="V26" s="43">
        <f t="shared" si="8"/>
        <v>0</v>
      </c>
      <c r="W26" s="43">
        <f t="shared" si="9"/>
        <v>0</v>
      </c>
      <c r="X26" s="43">
        <f t="shared" si="10"/>
        <v>0</v>
      </c>
      <c r="Y26" s="43">
        <f t="shared" si="11"/>
        <v>291.27600000000001</v>
      </c>
      <c r="Z26" s="43">
        <f t="shared" si="12"/>
        <v>161.82000000000002</v>
      </c>
      <c r="AA26" s="43">
        <f t="shared" si="13"/>
        <v>0</v>
      </c>
      <c r="AB26" s="43">
        <f t="shared" si="14"/>
        <v>0</v>
      </c>
      <c r="AC26" s="43">
        <f t="shared" si="15"/>
        <v>1832.2199999999998</v>
      </c>
      <c r="AD26" s="43">
        <f t="shared" si="16"/>
        <v>1017.9000000000001</v>
      </c>
      <c r="AE26" s="43">
        <f t="shared" si="17"/>
        <v>0</v>
      </c>
      <c r="AF26" s="43">
        <f t="shared" si="18"/>
        <v>0</v>
      </c>
      <c r="AG26" s="43">
        <f t="shared" si="19"/>
        <v>2724.8399999999997</v>
      </c>
      <c r="AH26" s="43">
        <f t="shared" si="20"/>
        <v>1513.8000000000002</v>
      </c>
      <c r="AI26" s="43">
        <f t="shared" si="21"/>
        <v>0</v>
      </c>
      <c r="AJ26" s="43">
        <f t="shared" si="22"/>
        <v>0</v>
      </c>
      <c r="AK26" s="43">
        <f t="shared" si="23"/>
        <v>6506.73</v>
      </c>
      <c r="AL26" s="43">
        <f t="shared" si="24"/>
        <v>3614.8500000000004</v>
      </c>
      <c r="AM26" s="43">
        <f t="shared" si="25"/>
        <v>0</v>
      </c>
      <c r="AN26" s="43">
        <f t="shared" si="26"/>
        <v>0</v>
      </c>
      <c r="AO26" s="43">
        <f t="shared" si="27"/>
        <v>14.093999999999999</v>
      </c>
      <c r="AP26" s="43">
        <f t="shared" si="28"/>
        <v>7.83</v>
      </c>
      <c r="AQ26" s="43">
        <f t="shared" si="29"/>
        <v>0</v>
      </c>
      <c r="AR26" s="43">
        <f t="shared" si="30"/>
        <v>0</v>
      </c>
      <c r="AS26" s="43">
        <f t="shared" si="31"/>
        <v>93.96</v>
      </c>
      <c r="AT26" s="43">
        <f t="shared" si="32"/>
        <v>52.2</v>
      </c>
      <c r="AU26" s="43">
        <f t="shared" si="33"/>
        <v>0</v>
      </c>
      <c r="AV26" s="43">
        <f t="shared" si="34"/>
        <v>0</v>
      </c>
      <c r="AW26" s="45">
        <f t="shared" si="35"/>
        <v>0.40500000000000003</v>
      </c>
      <c r="AX26" s="45">
        <f t="shared" si="36"/>
        <v>0.22500000000000001</v>
      </c>
      <c r="AY26" s="45">
        <f t="shared" si="37"/>
        <v>0</v>
      </c>
      <c r="AZ26" s="45">
        <f t="shared" si="38"/>
        <v>0</v>
      </c>
      <c r="BA26" s="45">
        <f t="shared" si="39"/>
        <v>0</v>
      </c>
      <c r="BB26" s="45">
        <f t="shared" si="40"/>
        <v>0</v>
      </c>
      <c r="BC26" s="45">
        <f t="shared" si="41"/>
        <v>0</v>
      </c>
      <c r="BD26" s="45">
        <f t="shared" si="42"/>
        <v>0</v>
      </c>
      <c r="BE26" s="44">
        <f t="shared" si="43"/>
        <v>23.49</v>
      </c>
      <c r="BF26" s="44">
        <f t="shared" si="44"/>
        <v>13.05</v>
      </c>
      <c r="BG26" s="44">
        <f t="shared" si="45"/>
        <v>0</v>
      </c>
      <c r="BH26" s="44">
        <f t="shared" si="46"/>
        <v>0</v>
      </c>
      <c r="BI26" s="4"/>
      <c r="BJ26" s="4"/>
      <c r="BK26" s="4"/>
      <c r="BL26" s="4"/>
      <c r="BM26" s="4"/>
      <c r="BN26" s="4"/>
    </row>
    <row r="27" spans="1:66" x14ac:dyDescent="0.25">
      <c r="A27" s="114" t="s">
        <v>90</v>
      </c>
      <c r="B27" s="105">
        <v>0</v>
      </c>
      <c r="C27" s="105"/>
      <c r="D27" s="105">
        <v>0</v>
      </c>
      <c r="E27" s="105"/>
      <c r="F27" s="33">
        <v>0.89</v>
      </c>
      <c r="G27" s="6">
        <v>0</v>
      </c>
      <c r="H27" s="7">
        <v>14</v>
      </c>
      <c r="I27" s="8">
        <v>157</v>
      </c>
      <c r="J27" s="8">
        <v>287</v>
      </c>
      <c r="K27" s="8">
        <v>281</v>
      </c>
      <c r="L27" s="7">
        <v>11.2</v>
      </c>
      <c r="M27" s="7">
        <v>5.6</v>
      </c>
      <c r="N27" s="49">
        <v>231</v>
      </c>
      <c r="O27" s="80">
        <v>1</v>
      </c>
      <c r="P27" s="80">
        <v>0</v>
      </c>
      <c r="Q27" s="43">
        <f t="shared" si="3"/>
        <v>0</v>
      </c>
      <c r="R27" s="43">
        <f t="shared" si="4"/>
        <v>0</v>
      </c>
      <c r="S27" s="43">
        <f t="shared" si="5"/>
        <v>0</v>
      </c>
      <c r="T27" s="43">
        <f t="shared" si="6"/>
        <v>0</v>
      </c>
      <c r="U27" s="43">
        <f t="shared" si="7"/>
        <v>0</v>
      </c>
      <c r="V27" s="43">
        <f t="shared" si="8"/>
        <v>0</v>
      </c>
      <c r="W27" s="43">
        <f t="shared" si="9"/>
        <v>0</v>
      </c>
      <c r="X27" s="43">
        <f t="shared" si="10"/>
        <v>0</v>
      </c>
      <c r="Y27" s="43">
        <f t="shared" si="11"/>
        <v>0</v>
      </c>
      <c r="Z27" s="43">
        <f t="shared" si="12"/>
        <v>0</v>
      </c>
      <c r="AA27" s="43">
        <f t="shared" si="13"/>
        <v>0</v>
      </c>
      <c r="AB27" s="43">
        <f t="shared" si="14"/>
        <v>0</v>
      </c>
      <c r="AC27" s="43">
        <f t="shared" si="15"/>
        <v>0</v>
      </c>
      <c r="AD27" s="43">
        <f t="shared" si="16"/>
        <v>0</v>
      </c>
      <c r="AE27" s="43">
        <f t="shared" si="17"/>
        <v>0</v>
      </c>
      <c r="AF27" s="43">
        <f t="shared" si="18"/>
        <v>0</v>
      </c>
      <c r="AG27" s="43">
        <f t="shared" si="19"/>
        <v>0</v>
      </c>
      <c r="AH27" s="43">
        <f t="shared" si="20"/>
        <v>0</v>
      </c>
      <c r="AI27" s="43">
        <f t="shared" si="21"/>
        <v>0</v>
      </c>
      <c r="AJ27" s="43">
        <f t="shared" si="22"/>
        <v>0</v>
      </c>
      <c r="AK27" s="43">
        <f t="shared" si="23"/>
        <v>0</v>
      </c>
      <c r="AL27" s="43">
        <f t="shared" si="24"/>
        <v>0</v>
      </c>
      <c r="AM27" s="43">
        <f t="shared" si="25"/>
        <v>0</v>
      </c>
      <c r="AN27" s="43">
        <f t="shared" si="26"/>
        <v>0</v>
      </c>
      <c r="AO27" s="43">
        <f t="shared" si="27"/>
        <v>0</v>
      </c>
      <c r="AP27" s="43">
        <f t="shared" si="28"/>
        <v>0</v>
      </c>
      <c r="AQ27" s="43">
        <f t="shared" si="29"/>
        <v>0</v>
      </c>
      <c r="AR27" s="43">
        <f t="shared" si="30"/>
        <v>0</v>
      </c>
      <c r="AS27" s="43">
        <f t="shared" si="31"/>
        <v>0</v>
      </c>
      <c r="AT27" s="43">
        <f t="shared" si="32"/>
        <v>0</v>
      </c>
      <c r="AU27" s="43">
        <f t="shared" si="33"/>
        <v>0</v>
      </c>
      <c r="AV27" s="43">
        <f t="shared" si="34"/>
        <v>0</v>
      </c>
      <c r="AW27" s="45">
        <f t="shared" si="35"/>
        <v>0</v>
      </c>
      <c r="AX27" s="45">
        <f t="shared" si="36"/>
        <v>0</v>
      </c>
      <c r="AY27" s="45">
        <f t="shared" si="37"/>
        <v>0</v>
      </c>
      <c r="AZ27" s="45">
        <f t="shared" si="38"/>
        <v>0</v>
      </c>
      <c r="BA27" s="45">
        <f t="shared" si="39"/>
        <v>0</v>
      </c>
      <c r="BB27" s="45">
        <f t="shared" si="40"/>
        <v>0</v>
      </c>
      <c r="BC27" s="45">
        <f t="shared" si="41"/>
        <v>0</v>
      </c>
      <c r="BD27" s="45">
        <f t="shared" si="42"/>
        <v>0</v>
      </c>
      <c r="BE27" s="44">
        <f t="shared" si="43"/>
        <v>0</v>
      </c>
      <c r="BF27" s="44">
        <f t="shared" si="44"/>
        <v>0</v>
      </c>
      <c r="BG27" s="44">
        <f t="shared" si="45"/>
        <v>0</v>
      </c>
      <c r="BH27" s="44">
        <f t="shared" si="46"/>
        <v>0</v>
      </c>
      <c r="BI27" s="4"/>
      <c r="BJ27" s="4"/>
      <c r="BK27" s="4"/>
      <c r="BL27" s="4"/>
      <c r="BM27" s="4"/>
      <c r="BN27" s="4"/>
    </row>
    <row r="28" spans="1:66" x14ac:dyDescent="0.25">
      <c r="A28" s="114" t="s">
        <v>128</v>
      </c>
      <c r="B28" s="105"/>
      <c r="C28" s="105">
        <v>0</v>
      </c>
      <c r="D28" s="105"/>
      <c r="E28" s="105"/>
      <c r="F28" s="34">
        <v>0.89</v>
      </c>
      <c r="G28" s="6">
        <v>0</v>
      </c>
      <c r="H28" s="7">
        <v>12.3</v>
      </c>
      <c r="I28" s="8">
        <v>145</v>
      </c>
      <c r="J28" s="8">
        <v>290</v>
      </c>
      <c r="K28" s="8">
        <v>296</v>
      </c>
      <c r="L28" s="7">
        <v>29</v>
      </c>
      <c r="M28" s="7">
        <v>9</v>
      </c>
      <c r="N28" s="49">
        <v>202</v>
      </c>
      <c r="O28" s="80">
        <v>1</v>
      </c>
      <c r="P28" s="80">
        <v>0</v>
      </c>
      <c r="Q28" s="43">
        <f t="shared" si="3"/>
        <v>0</v>
      </c>
      <c r="R28" s="43">
        <f t="shared" si="4"/>
        <v>0</v>
      </c>
      <c r="S28" s="43">
        <f t="shared" si="5"/>
        <v>0</v>
      </c>
      <c r="T28" s="43">
        <f t="shared" si="6"/>
        <v>0</v>
      </c>
      <c r="U28" s="43">
        <f t="shared" si="7"/>
        <v>0</v>
      </c>
      <c r="V28" s="43">
        <f t="shared" si="8"/>
        <v>0</v>
      </c>
      <c r="W28" s="43">
        <f t="shared" si="9"/>
        <v>0</v>
      </c>
      <c r="X28" s="43">
        <f t="shared" si="10"/>
        <v>0</v>
      </c>
      <c r="Y28" s="43">
        <f t="shared" si="11"/>
        <v>0</v>
      </c>
      <c r="Z28" s="43">
        <f t="shared" si="12"/>
        <v>0</v>
      </c>
      <c r="AA28" s="43">
        <f t="shared" si="13"/>
        <v>0</v>
      </c>
      <c r="AB28" s="43">
        <f t="shared" si="14"/>
        <v>0</v>
      </c>
      <c r="AC28" s="43">
        <f t="shared" si="15"/>
        <v>0</v>
      </c>
      <c r="AD28" s="43">
        <f t="shared" si="16"/>
        <v>0</v>
      </c>
      <c r="AE28" s="43">
        <f t="shared" si="17"/>
        <v>0</v>
      </c>
      <c r="AF28" s="43">
        <f t="shared" si="18"/>
        <v>0</v>
      </c>
      <c r="AG28" s="43">
        <f t="shared" si="19"/>
        <v>0</v>
      </c>
      <c r="AH28" s="43">
        <f t="shared" si="20"/>
        <v>0</v>
      </c>
      <c r="AI28" s="43">
        <f t="shared" si="21"/>
        <v>0</v>
      </c>
      <c r="AJ28" s="43">
        <f t="shared" si="22"/>
        <v>0</v>
      </c>
      <c r="AK28" s="43">
        <f t="shared" si="23"/>
        <v>0</v>
      </c>
      <c r="AL28" s="43">
        <f t="shared" si="24"/>
        <v>0</v>
      </c>
      <c r="AM28" s="43">
        <f t="shared" si="25"/>
        <v>0</v>
      </c>
      <c r="AN28" s="43">
        <f t="shared" si="26"/>
        <v>0</v>
      </c>
      <c r="AO28" s="43">
        <f t="shared" si="27"/>
        <v>0</v>
      </c>
      <c r="AP28" s="43">
        <f t="shared" si="28"/>
        <v>0</v>
      </c>
      <c r="AQ28" s="43">
        <f t="shared" si="29"/>
        <v>0</v>
      </c>
      <c r="AR28" s="43">
        <f t="shared" si="30"/>
        <v>0</v>
      </c>
      <c r="AS28" s="43">
        <f t="shared" si="31"/>
        <v>0</v>
      </c>
      <c r="AT28" s="43">
        <f t="shared" si="32"/>
        <v>0</v>
      </c>
      <c r="AU28" s="43">
        <f t="shared" si="33"/>
        <v>0</v>
      </c>
      <c r="AV28" s="43">
        <f t="shared" si="34"/>
        <v>0</v>
      </c>
      <c r="AW28" s="45">
        <f t="shared" si="35"/>
        <v>0</v>
      </c>
      <c r="AX28" s="45">
        <f t="shared" si="36"/>
        <v>0</v>
      </c>
      <c r="AY28" s="45">
        <f t="shared" si="37"/>
        <v>0</v>
      </c>
      <c r="AZ28" s="45">
        <f t="shared" si="38"/>
        <v>0</v>
      </c>
      <c r="BA28" s="45">
        <f t="shared" si="39"/>
        <v>0</v>
      </c>
      <c r="BB28" s="45">
        <f t="shared" si="40"/>
        <v>0</v>
      </c>
      <c r="BC28" s="45">
        <f t="shared" si="41"/>
        <v>0</v>
      </c>
      <c r="BD28" s="45">
        <f t="shared" si="42"/>
        <v>0</v>
      </c>
      <c r="BE28" s="44">
        <f t="shared" si="43"/>
        <v>0</v>
      </c>
      <c r="BF28" s="44">
        <f t="shared" si="44"/>
        <v>0</v>
      </c>
      <c r="BG28" s="44">
        <f t="shared" si="45"/>
        <v>0</v>
      </c>
      <c r="BH28" s="44">
        <f t="shared" si="46"/>
        <v>0</v>
      </c>
      <c r="BI28" s="4"/>
      <c r="BJ28" s="4"/>
      <c r="BK28" s="4"/>
      <c r="BL28" s="4"/>
    </row>
    <row r="29" spans="1:66" x14ac:dyDescent="0.25">
      <c r="A29" s="114" t="s">
        <v>131</v>
      </c>
      <c r="B29" s="105"/>
      <c r="C29" s="105">
        <v>0</v>
      </c>
      <c r="D29" s="105"/>
      <c r="E29" s="105">
        <v>10</v>
      </c>
      <c r="F29" s="34">
        <v>0.87</v>
      </c>
      <c r="G29" s="6">
        <v>0</v>
      </c>
      <c r="H29" s="7">
        <v>13.2</v>
      </c>
      <c r="I29" s="8">
        <v>110</v>
      </c>
      <c r="J29" s="8">
        <v>185</v>
      </c>
      <c r="K29" s="8">
        <v>320</v>
      </c>
      <c r="L29" s="7">
        <v>11.5</v>
      </c>
      <c r="M29" s="7">
        <v>5.7</v>
      </c>
      <c r="N29" s="49">
        <v>144</v>
      </c>
      <c r="O29" s="80">
        <v>1</v>
      </c>
      <c r="P29" s="80">
        <v>0</v>
      </c>
      <c r="Q29" s="43">
        <f t="shared" si="3"/>
        <v>0</v>
      </c>
      <c r="R29" s="43">
        <f t="shared" si="4"/>
        <v>0</v>
      </c>
      <c r="S29" s="43">
        <f t="shared" si="5"/>
        <v>0</v>
      </c>
      <c r="T29" s="43">
        <f t="shared" si="6"/>
        <v>8.6999999999999993</v>
      </c>
      <c r="U29" s="43">
        <f t="shared" si="7"/>
        <v>0</v>
      </c>
      <c r="V29" s="43">
        <f t="shared" si="8"/>
        <v>0</v>
      </c>
      <c r="W29" s="43">
        <f t="shared" si="9"/>
        <v>0</v>
      </c>
      <c r="X29" s="43">
        <f t="shared" si="10"/>
        <v>0</v>
      </c>
      <c r="Y29" s="43">
        <f t="shared" si="11"/>
        <v>0</v>
      </c>
      <c r="Z29" s="43">
        <f t="shared" si="12"/>
        <v>0</v>
      </c>
      <c r="AA29" s="43">
        <f t="shared" si="13"/>
        <v>0</v>
      </c>
      <c r="AB29" s="43">
        <f t="shared" si="14"/>
        <v>114.83999999999999</v>
      </c>
      <c r="AC29" s="43">
        <f t="shared" si="15"/>
        <v>0</v>
      </c>
      <c r="AD29" s="43">
        <f t="shared" si="16"/>
        <v>0</v>
      </c>
      <c r="AE29" s="43">
        <f t="shared" si="17"/>
        <v>0</v>
      </c>
      <c r="AF29" s="43">
        <f t="shared" si="18"/>
        <v>956.99999999999989</v>
      </c>
      <c r="AG29" s="43">
        <f t="shared" si="19"/>
        <v>0</v>
      </c>
      <c r="AH29" s="43">
        <f t="shared" si="20"/>
        <v>0</v>
      </c>
      <c r="AI29" s="43">
        <f t="shared" si="21"/>
        <v>0</v>
      </c>
      <c r="AJ29" s="43">
        <f t="shared" si="22"/>
        <v>1609.4999999999998</v>
      </c>
      <c r="AK29" s="43">
        <f t="shared" si="23"/>
        <v>0</v>
      </c>
      <c r="AL29" s="43">
        <f t="shared" si="24"/>
        <v>0</v>
      </c>
      <c r="AM29" s="43">
        <f t="shared" si="25"/>
        <v>0</v>
      </c>
      <c r="AN29" s="43">
        <f t="shared" si="26"/>
        <v>2784</v>
      </c>
      <c r="AO29" s="43">
        <f t="shared" si="27"/>
        <v>0</v>
      </c>
      <c r="AP29" s="43">
        <f t="shared" si="28"/>
        <v>0</v>
      </c>
      <c r="AQ29" s="43">
        <f t="shared" si="29"/>
        <v>0</v>
      </c>
      <c r="AR29" s="43">
        <f t="shared" si="30"/>
        <v>100.05</v>
      </c>
      <c r="AS29" s="43">
        <f t="shared" si="31"/>
        <v>0</v>
      </c>
      <c r="AT29" s="43">
        <f t="shared" si="32"/>
        <v>0</v>
      </c>
      <c r="AU29" s="43">
        <f t="shared" si="33"/>
        <v>0</v>
      </c>
      <c r="AV29" s="43">
        <f t="shared" si="34"/>
        <v>49.589999999999996</v>
      </c>
      <c r="AW29" s="45">
        <f t="shared" si="35"/>
        <v>0</v>
      </c>
      <c r="AX29" s="45">
        <f t="shared" si="36"/>
        <v>0</v>
      </c>
      <c r="AY29" s="45">
        <f t="shared" si="37"/>
        <v>0</v>
      </c>
      <c r="AZ29" s="45">
        <f t="shared" si="38"/>
        <v>14.4</v>
      </c>
      <c r="BA29" s="45">
        <f t="shared" si="39"/>
        <v>0</v>
      </c>
      <c r="BB29" s="45">
        <f t="shared" si="40"/>
        <v>0</v>
      </c>
      <c r="BC29" s="45">
        <f t="shared" si="41"/>
        <v>0</v>
      </c>
      <c r="BD29" s="45">
        <f t="shared" si="42"/>
        <v>1609.4999999999998</v>
      </c>
      <c r="BE29" s="44">
        <f t="shared" si="43"/>
        <v>0</v>
      </c>
      <c r="BF29" s="44">
        <f t="shared" si="44"/>
        <v>0</v>
      </c>
      <c r="BG29" s="44">
        <f t="shared" si="45"/>
        <v>0</v>
      </c>
      <c r="BH29" s="44">
        <f t="shared" si="46"/>
        <v>0</v>
      </c>
      <c r="BI29" s="4"/>
      <c r="BJ29" s="4"/>
      <c r="BK29" s="4"/>
      <c r="BL29" s="4"/>
    </row>
    <row r="30" spans="1:66" x14ac:dyDescent="0.25">
      <c r="A30" s="114" t="s">
        <v>93</v>
      </c>
      <c r="B30" s="105"/>
      <c r="C30" s="105"/>
      <c r="D30" s="105"/>
      <c r="E30" s="105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3"/>
        <v>0</v>
      </c>
      <c r="R30" s="43">
        <f t="shared" si="4"/>
        <v>0</v>
      </c>
      <c r="S30" s="43">
        <f t="shared" si="5"/>
        <v>0</v>
      </c>
      <c r="T30" s="43">
        <f t="shared" si="6"/>
        <v>0</v>
      </c>
      <c r="U30" s="43">
        <f t="shared" si="7"/>
        <v>0</v>
      </c>
      <c r="V30" s="43">
        <f t="shared" si="8"/>
        <v>0</v>
      </c>
      <c r="W30" s="43">
        <f t="shared" si="9"/>
        <v>0</v>
      </c>
      <c r="X30" s="43">
        <f t="shared" si="10"/>
        <v>0</v>
      </c>
      <c r="Y30" s="43">
        <f t="shared" si="11"/>
        <v>0</v>
      </c>
      <c r="Z30" s="43">
        <f t="shared" si="12"/>
        <v>0</v>
      </c>
      <c r="AA30" s="43">
        <f t="shared" si="13"/>
        <v>0</v>
      </c>
      <c r="AB30" s="43">
        <f t="shared" si="14"/>
        <v>0</v>
      </c>
      <c r="AC30" s="43">
        <f t="shared" si="15"/>
        <v>0</v>
      </c>
      <c r="AD30" s="43">
        <f t="shared" si="16"/>
        <v>0</v>
      </c>
      <c r="AE30" s="43">
        <f t="shared" si="17"/>
        <v>0</v>
      </c>
      <c r="AF30" s="43">
        <f t="shared" si="18"/>
        <v>0</v>
      </c>
      <c r="AG30" s="43">
        <f t="shared" si="19"/>
        <v>0</v>
      </c>
      <c r="AH30" s="43">
        <f t="shared" si="20"/>
        <v>0</v>
      </c>
      <c r="AI30" s="43">
        <f t="shared" si="21"/>
        <v>0</v>
      </c>
      <c r="AJ30" s="43">
        <f t="shared" si="22"/>
        <v>0</v>
      </c>
      <c r="AK30" s="43">
        <f t="shared" si="23"/>
        <v>0</v>
      </c>
      <c r="AL30" s="43">
        <f t="shared" si="24"/>
        <v>0</v>
      </c>
      <c r="AM30" s="43">
        <f t="shared" si="25"/>
        <v>0</v>
      </c>
      <c r="AN30" s="43">
        <f t="shared" si="26"/>
        <v>0</v>
      </c>
      <c r="AO30" s="43">
        <f t="shared" si="27"/>
        <v>0</v>
      </c>
      <c r="AP30" s="43">
        <f t="shared" si="28"/>
        <v>0</v>
      </c>
      <c r="AQ30" s="43">
        <f t="shared" si="29"/>
        <v>0</v>
      </c>
      <c r="AR30" s="43">
        <f t="shared" si="30"/>
        <v>0</v>
      </c>
      <c r="AS30" s="43">
        <f t="shared" si="31"/>
        <v>0</v>
      </c>
      <c r="AT30" s="43">
        <f t="shared" si="32"/>
        <v>0</v>
      </c>
      <c r="AU30" s="43">
        <f t="shared" si="33"/>
        <v>0</v>
      </c>
      <c r="AV30" s="43">
        <f t="shared" si="34"/>
        <v>0</v>
      </c>
      <c r="AW30" s="45">
        <f t="shared" si="35"/>
        <v>0</v>
      </c>
      <c r="AX30" s="45">
        <f t="shared" si="36"/>
        <v>0</v>
      </c>
      <c r="AY30" s="45">
        <f t="shared" si="37"/>
        <v>0</v>
      </c>
      <c r="AZ30" s="45">
        <f t="shared" si="38"/>
        <v>0</v>
      </c>
      <c r="BA30" s="45">
        <f t="shared" si="39"/>
        <v>0</v>
      </c>
      <c r="BB30" s="45">
        <f t="shared" si="40"/>
        <v>0</v>
      </c>
      <c r="BC30" s="45">
        <f t="shared" si="41"/>
        <v>0</v>
      </c>
      <c r="BD30" s="45">
        <f t="shared" si="42"/>
        <v>0</v>
      </c>
      <c r="BE30" s="44">
        <f t="shared" si="43"/>
        <v>0</v>
      </c>
      <c r="BF30" s="44">
        <f t="shared" si="44"/>
        <v>0</v>
      </c>
      <c r="BG30" s="44">
        <f t="shared" si="45"/>
        <v>0</v>
      </c>
      <c r="BH30" s="44">
        <f t="shared" si="46"/>
        <v>0</v>
      </c>
    </row>
    <row r="31" spans="1:66" x14ac:dyDescent="0.25">
      <c r="A31" s="114" t="s">
        <v>54</v>
      </c>
      <c r="B31" s="105">
        <v>0.68</v>
      </c>
      <c r="C31" s="105">
        <v>0.4</v>
      </c>
      <c r="D31" s="105">
        <v>0</v>
      </c>
      <c r="E31" s="105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3"/>
        <v>0.66639999999999999</v>
      </c>
      <c r="R31" s="43">
        <f t="shared" si="4"/>
        <v>0.39200000000000002</v>
      </c>
      <c r="S31" s="43">
        <f t="shared" si="5"/>
        <v>0</v>
      </c>
      <c r="T31" s="43">
        <f t="shared" si="6"/>
        <v>0.98</v>
      </c>
      <c r="U31" s="43">
        <f t="shared" si="7"/>
        <v>0</v>
      </c>
      <c r="V31" s="43">
        <f t="shared" si="8"/>
        <v>0</v>
      </c>
      <c r="W31" s="43">
        <f t="shared" si="9"/>
        <v>0</v>
      </c>
      <c r="X31" s="43">
        <f t="shared" si="10"/>
        <v>0</v>
      </c>
      <c r="Y31" s="43">
        <f t="shared" si="11"/>
        <v>0</v>
      </c>
      <c r="Z31" s="43">
        <f t="shared" si="12"/>
        <v>0</v>
      </c>
      <c r="AA31" s="43">
        <f t="shared" si="13"/>
        <v>0</v>
      </c>
      <c r="AB31" s="43">
        <f t="shared" si="14"/>
        <v>0</v>
      </c>
      <c r="AC31" s="43">
        <f t="shared" si="15"/>
        <v>0</v>
      </c>
      <c r="AD31" s="43">
        <f t="shared" si="16"/>
        <v>0</v>
      </c>
      <c r="AE31" s="43">
        <f t="shared" si="17"/>
        <v>0</v>
      </c>
      <c r="AF31" s="43">
        <f t="shared" si="18"/>
        <v>0</v>
      </c>
      <c r="AG31" s="43">
        <f t="shared" si="19"/>
        <v>0</v>
      </c>
      <c r="AH31" s="43">
        <f t="shared" si="20"/>
        <v>0</v>
      </c>
      <c r="AI31" s="43">
        <f t="shared" si="21"/>
        <v>0</v>
      </c>
      <c r="AJ31" s="43">
        <f t="shared" si="22"/>
        <v>0</v>
      </c>
      <c r="AK31" s="43">
        <f t="shared" si="23"/>
        <v>0</v>
      </c>
      <c r="AL31" s="43">
        <f t="shared" si="24"/>
        <v>0</v>
      </c>
      <c r="AM31" s="43">
        <f t="shared" si="25"/>
        <v>0</v>
      </c>
      <c r="AN31" s="43">
        <f t="shared" si="26"/>
        <v>0</v>
      </c>
      <c r="AO31" s="43">
        <f t="shared" si="27"/>
        <v>99.293599999999998</v>
      </c>
      <c r="AP31" s="43">
        <f t="shared" si="28"/>
        <v>58.408000000000001</v>
      </c>
      <c r="AQ31" s="43">
        <f t="shared" si="29"/>
        <v>0</v>
      </c>
      <c r="AR31" s="43">
        <f t="shared" si="30"/>
        <v>146.02000000000001</v>
      </c>
      <c r="AS31" s="43">
        <f t="shared" si="31"/>
        <v>44.182319999999997</v>
      </c>
      <c r="AT31" s="43">
        <f t="shared" si="32"/>
        <v>25.989599999999999</v>
      </c>
      <c r="AU31" s="43">
        <f t="shared" si="33"/>
        <v>0</v>
      </c>
      <c r="AV31" s="43">
        <f t="shared" si="34"/>
        <v>64.97399999999999</v>
      </c>
      <c r="AW31" s="45">
        <f t="shared" si="35"/>
        <v>4.4200000000000008</v>
      </c>
      <c r="AX31" s="45">
        <f t="shared" si="36"/>
        <v>2.6</v>
      </c>
      <c r="AY31" s="45">
        <f t="shared" si="37"/>
        <v>0</v>
      </c>
      <c r="AZ31" s="45">
        <f t="shared" si="38"/>
        <v>6.5</v>
      </c>
      <c r="BA31" s="45">
        <f t="shared" si="39"/>
        <v>0</v>
      </c>
      <c r="BB31" s="45">
        <f t="shared" si="40"/>
        <v>0</v>
      </c>
      <c r="BC31" s="45">
        <f t="shared" si="41"/>
        <v>0</v>
      </c>
      <c r="BD31" s="45">
        <f t="shared" si="42"/>
        <v>0</v>
      </c>
      <c r="BE31" s="44">
        <f t="shared" si="43"/>
        <v>0</v>
      </c>
      <c r="BF31" s="44">
        <f t="shared" si="44"/>
        <v>0</v>
      </c>
      <c r="BG31" s="44">
        <f t="shared" si="45"/>
        <v>0</v>
      </c>
      <c r="BH31" s="44">
        <f t="shared" si="46"/>
        <v>0</v>
      </c>
      <c r="BI31" s="4"/>
      <c r="BJ31" s="4"/>
      <c r="BK31" s="4"/>
      <c r="BL31" s="4"/>
    </row>
    <row r="32" spans="1:66" x14ac:dyDescent="0.25">
      <c r="A32" s="114" t="s">
        <v>93</v>
      </c>
      <c r="B32" s="105"/>
      <c r="C32" s="105"/>
      <c r="D32" s="105"/>
      <c r="E32" s="105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3"/>
        <v>0</v>
      </c>
      <c r="R32" s="43">
        <f t="shared" si="4"/>
        <v>0</v>
      </c>
      <c r="S32" s="43">
        <f t="shared" si="5"/>
        <v>0</v>
      </c>
      <c r="T32" s="43">
        <f t="shared" si="6"/>
        <v>0</v>
      </c>
      <c r="U32" s="43">
        <f t="shared" si="7"/>
        <v>0</v>
      </c>
      <c r="V32" s="43">
        <f t="shared" si="8"/>
        <v>0</v>
      </c>
      <c r="W32" s="43">
        <f t="shared" si="9"/>
        <v>0</v>
      </c>
      <c r="X32" s="43">
        <f t="shared" si="10"/>
        <v>0</v>
      </c>
      <c r="Y32" s="43">
        <f t="shared" si="11"/>
        <v>0</v>
      </c>
      <c r="Z32" s="43">
        <f t="shared" si="12"/>
        <v>0</v>
      </c>
      <c r="AA32" s="43">
        <f t="shared" si="13"/>
        <v>0</v>
      </c>
      <c r="AB32" s="43">
        <f t="shared" si="14"/>
        <v>0</v>
      </c>
      <c r="AC32" s="43">
        <f t="shared" si="15"/>
        <v>0</v>
      </c>
      <c r="AD32" s="43">
        <f t="shared" si="16"/>
        <v>0</v>
      </c>
      <c r="AE32" s="43">
        <f t="shared" si="17"/>
        <v>0</v>
      </c>
      <c r="AF32" s="43">
        <f t="shared" si="18"/>
        <v>0</v>
      </c>
      <c r="AG32" s="43">
        <f t="shared" si="19"/>
        <v>0</v>
      </c>
      <c r="AH32" s="43">
        <f t="shared" si="20"/>
        <v>0</v>
      </c>
      <c r="AI32" s="43">
        <f t="shared" si="21"/>
        <v>0</v>
      </c>
      <c r="AJ32" s="43">
        <f t="shared" si="22"/>
        <v>0</v>
      </c>
      <c r="AK32" s="43">
        <f t="shared" si="23"/>
        <v>0</v>
      </c>
      <c r="AL32" s="43">
        <f t="shared" si="24"/>
        <v>0</v>
      </c>
      <c r="AM32" s="43">
        <f t="shared" si="25"/>
        <v>0</v>
      </c>
      <c r="AN32" s="43">
        <f t="shared" si="26"/>
        <v>0</v>
      </c>
      <c r="AO32" s="43">
        <f t="shared" si="27"/>
        <v>0</v>
      </c>
      <c r="AP32" s="43">
        <f t="shared" si="28"/>
        <v>0</v>
      </c>
      <c r="AQ32" s="43">
        <f t="shared" si="29"/>
        <v>0</v>
      </c>
      <c r="AR32" s="43">
        <f t="shared" si="30"/>
        <v>0</v>
      </c>
      <c r="AS32" s="43">
        <f t="shared" si="31"/>
        <v>0</v>
      </c>
      <c r="AT32" s="43">
        <f t="shared" si="32"/>
        <v>0</v>
      </c>
      <c r="AU32" s="43">
        <f t="shared" si="33"/>
        <v>0</v>
      </c>
      <c r="AV32" s="43">
        <f t="shared" si="34"/>
        <v>0</v>
      </c>
      <c r="AW32" s="45">
        <f t="shared" si="35"/>
        <v>0</v>
      </c>
      <c r="AX32" s="45">
        <f t="shared" si="36"/>
        <v>0</v>
      </c>
      <c r="AY32" s="45">
        <f t="shared" si="37"/>
        <v>0</v>
      </c>
      <c r="AZ32" s="45">
        <f t="shared" si="38"/>
        <v>0</v>
      </c>
      <c r="BA32" s="45">
        <f t="shared" si="39"/>
        <v>0</v>
      </c>
      <c r="BB32" s="45">
        <f t="shared" si="40"/>
        <v>0</v>
      </c>
      <c r="BC32" s="45">
        <f t="shared" si="41"/>
        <v>0</v>
      </c>
      <c r="BD32" s="45">
        <f t="shared" si="42"/>
        <v>0</v>
      </c>
      <c r="BE32" s="44">
        <f t="shared" si="43"/>
        <v>0</v>
      </c>
      <c r="BF32" s="44">
        <f t="shared" si="44"/>
        <v>0</v>
      </c>
      <c r="BG32" s="44">
        <f t="shared" si="45"/>
        <v>0</v>
      </c>
      <c r="BH32" s="44">
        <f t="shared" si="46"/>
        <v>0</v>
      </c>
      <c r="BI32" s="4"/>
      <c r="BJ32" s="4"/>
      <c r="BK32" s="4"/>
      <c r="BL32" s="4"/>
    </row>
    <row r="33" spans="1:64" ht="15.6" x14ac:dyDescent="0.3">
      <c r="A33" s="115" t="s">
        <v>58</v>
      </c>
      <c r="B33" s="136">
        <f>SUM(B22:B31)</f>
        <v>95.68</v>
      </c>
      <c r="C33" s="136">
        <f>SUM(C22:C31)</f>
        <v>42.4</v>
      </c>
      <c r="D33" s="136">
        <f>SUM(D22:D31)</f>
        <v>0</v>
      </c>
      <c r="E33" s="136">
        <f>SUM(E22:E31)</f>
        <v>11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47">SUM(Q22:Q32)</f>
        <v>92.156399999999991</v>
      </c>
      <c r="R33" s="82">
        <f t="shared" si="47"/>
        <v>40.442</v>
      </c>
      <c r="S33" s="82">
        <f t="shared" si="47"/>
        <v>0</v>
      </c>
      <c r="T33" s="82">
        <f t="shared" si="47"/>
        <v>9.68</v>
      </c>
      <c r="U33" s="82">
        <f t="shared" si="47"/>
        <v>68</v>
      </c>
      <c r="V33" s="82">
        <f t="shared" si="47"/>
        <v>27</v>
      </c>
      <c r="W33" s="82">
        <f t="shared" si="47"/>
        <v>0</v>
      </c>
      <c r="X33" s="82">
        <f t="shared" si="47"/>
        <v>0</v>
      </c>
      <c r="Y33" s="82">
        <f t="shared" si="47"/>
        <v>1005.2760000000001</v>
      </c>
      <c r="Z33" s="82">
        <f t="shared" si="47"/>
        <v>445.32000000000005</v>
      </c>
      <c r="AA33" s="82">
        <f t="shared" si="47"/>
        <v>0</v>
      </c>
      <c r="AB33" s="82">
        <f t="shared" si="47"/>
        <v>114.83999999999999</v>
      </c>
      <c r="AC33" s="82">
        <f t="shared" si="47"/>
        <v>6592.2199999999993</v>
      </c>
      <c r="AD33" s="82">
        <f t="shared" si="47"/>
        <v>2907.9</v>
      </c>
      <c r="AE33" s="82">
        <f t="shared" si="47"/>
        <v>0</v>
      </c>
      <c r="AF33" s="82">
        <f t="shared" si="47"/>
        <v>956.99999999999989</v>
      </c>
      <c r="AG33" s="82">
        <f t="shared" si="47"/>
        <v>10272.84</v>
      </c>
      <c r="AH33" s="82">
        <f t="shared" si="47"/>
        <v>4510.8</v>
      </c>
      <c r="AI33" s="82">
        <f t="shared" si="47"/>
        <v>0</v>
      </c>
      <c r="AJ33" s="82">
        <f t="shared" si="47"/>
        <v>1609.4999999999998</v>
      </c>
      <c r="AK33" s="82">
        <f t="shared" si="47"/>
        <v>43906.729999999996</v>
      </c>
      <c r="AL33" s="82">
        <f t="shared" si="47"/>
        <v>18464.849999999999</v>
      </c>
      <c r="AM33" s="82">
        <f t="shared" si="47"/>
        <v>0</v>
      </c>
      <c r="AN33" s="82">
        <f t="shared" si="47"/>
        <v>2784</v>
      </c>
      <c r="AO33" s="82">
        <f t="shared" si="47"/>
        <v>351.38760000000002</v>
      </c>
      <c r="AP33" s="82">
        <f t="shared" si="47"/>
        <v>160.738</v>
      </c>
      <c r="AQ33" s="82">
        <f t="shared" si="47"/>
        <v>0</v>
      </c>
      <c r="AR33" s="82">
        <f t="shared" si="47"/>
        <v>246.07</v>
      </c>
      <c r="AS33" s="82">
        <f t="shared" si="47"/>
        <v>314.94232</v>
      </c>
      <c r="AT33" s="82">
        <f t="shared" si="47"/>
        <v>148.3896</v>
      </c>
      <c r="AU33" s="82">
        <f t="shared" si="47"/>
        <v>0</v>
      </c>
      <c r="AV33" s="82">
        <f t="shared" si="47"/>
        <v>114.56399999999999</v>
      </c>
      <c r="AW33" s="83">
        <f t="shared" si="47"/>
        <v>5.7090000000000014</v>
      </c>
      <c r="AX33" s="83">
        <f t="shared" si="47"/>
        <v>3.1760000000000002</v>
      </c>
      <c r="AY33" s="83">
        <f t="shared" si="47"/>
        <v>0</v>
      </c>
      <c r="AZ33" s="83">
        <f t="shared" si="47"/>
        <v>20.9</v>
      </c>
      <c r="BA33" s="84">
        <f t="shared" si="47"/>
        <v>0</v>
      </c>
      <c r="BB33" s="84">
        <f t="shared" si="47"/>
        <v>0</v>
      </c>
      <c r="BC33" s="84">
        <f t="shared" si="47"/>
        <v>0</v>
      </c>
      <c r="BD33" s="84">
        <f t="shared" si="47"/>
        <v>1609.4999999999998</v>
      </c>
      <c r="BE33" s="84">
        <f t="shared" si="47"/>
        <v>91.49</v>
      </c>
      <c r="BF33" s="84">
        <f t="shared" si="47"/>
        <v>40.049999999999997</v>
      </c>
      <c r="BG33" s="84">
        <f t="shared" si="47"/>
        <v>0</v>
      </c>
      <c r="BH33" s="84">
        <f t="shared" si="47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0.96317307692307674</v>
      </c>
      <c r="R34" s="65">
        <f>R33/C33</f>
        <v>0.95382075471698113</v>
      </c>
      <c r="S34" s="65" t="e">
        <f>S33/D33</f>
        <v>#DIV/0!</v>
      </c>
      <c r="T34" s="65">
        <f>T33/E33</f>
        <v>0.88</v>
      </c>
      <c r="U34" s="141">
        <f>U33/Q33</f>
        <v>0.73787604550524988</v>
      </c>
      <c r="V34" s="138">
        <f>V33/R33</f>
        <v>0.66762276840907964</v>
      </c>
      <c r="W34" s="138" t="e">
        <f>W33/S33</f>
        <v>#DIV/0!</v>
      </c>
      <c r="X34" s="138">
        <f>X33/T33</f>
        <v>0</v>
      </c>
      <c r="Y34" s="140">
        <f>Y33/Q33</f>
        <v>10.908368816490229</v>
      </c>
      <c r="Z34" s="66">
        <f>Z33/R33</f>
        <v>11.011324860293755</v>
      </c>
      <c r="AA34" s="66" t="e">
        <f>AA33/S33</f>
        <v>#DIV/0!</v>
      </c>
      <c r="AB34" s="66">
        <f>AB33/T33</f>
        <v>11.863636363636363</v>
      </c>
      <c r="AC34" s="140">
        <f>AC33/Q33</f>
        <v>71.532959186773795</v>
      </c>
      <c r="AD34" s="66">
        <f>AD33/R33</f>
        <v>71.902972157657885</v>
      </c>
      <c r="AE34" s="66" t="e">
        <f>AE33/S33</f>
        <v>#DIV/0!</v>
      </c>
      <c r="AF34" s="66">
        <f>AF33/T33</f>
        <v>98.86363636363636</v>
      </c>
      <c r="AG34" s="140">
        <f>AG33/Q33</f>
        <v>111.47180228394339</v>
      </c>
      <c r="AH34" s="140">
        <f>AH33/R33</f>
        <v>111.53751050887692</v>
      </c>
      <c r="AI34" s="140" t="e">
        <f>AI33/S33</f>
        <v>#DIV/0!</v>
      </c>
      <c r="AJ34" s="140">
        <f>AJ33/T33</f>
        <v>166.27066115702476</v>
      </c>
      <c r="AK34" s="66">
        <f>AK33/Q33</f>
        <v>476.43712210980465</v>
      </c>
      <c r="AL34" s="66">
        <f>AL33/R33</f>
        <v>456.57608426882939</v>
      </c>
      <c r="AM34" s="66" t="e">
        <f>AM33/S33</f>
        <v>#DIV/0!</v>
      </c>
      <c r="AN34" s="66">
        <f>AN33/T33</f>
        <v>287.60330578512395</v>
      </c>
      <c r="AO34" s="66">
        <f>AO33/Q33</f>
        <v>3.8129484224644199</v>
      </c>
      <c r="AP34" s="66">
        <f>AP33/R33</f>
        <v>3.9745314277236536</v>
      </c>
      <c r="AQ34" s="66" t="e">
        <f>AQ33/S33</f>
        <v>#DIV/0!</v>
      </c>
      <c r="AR34" s="66">
        <f>AR33/T33</f>
        <v>25.420454545454547</v>
      </c>
      <c r="AS34" s="66">
        <f>AS33/Q33</f>
        <v>3.4174763771154257</v>
      </c>
      <c r="AT34" s="66">
        <f>AT33/R33</f>
        <v>3.6691953909302213</v>
      </c>
      <c r="AU34" s="66" t="e">
        <f>AU33/S33</f>
        <v>#DIV/0!</v>
      </c>
      <c r="AV34" s="66">
        <f>AV33/T33</f>
        <v>11.835123966942149</v>
      </c>
      <c r="AW34" s="67">
        <f>AW33/Q33</f>
        <v>6.1949034467492239E-2</v>
      </c>
      <c r="AX34" s="67">
        <f>AX33/R33</f>
        <v>7.8532218980268048E-2</v>
      </c>
      <c r="AY34" s="67" t="e">
        <f>AY33/S33</f>
        <v>#DIV/0!</v>
      </c>
      <c r="AZ34" s="67">
        <f>AZ33/T33</f>
        <v>2.1590909090909092</v>
      </c>
      <c r="BA34" s="66">
        <f>BA33/Q33</f>
        <v>0</v>
      </c>
      <c r="BB34" s="66">
        <f>BB33/R33</f>
        <v>0</v>
      </c>
      <c r="BC34" s="66" t="e">
        <f>BC33/S33</f>
        <v>#DIV/0!</v>
      </c>
      <c r="BD34" s="66">
        <f>BD33/T33</f>
        <v>166.27066115702476</v>
      </c>
      <c r="BE34" s="66">
        <f>BE33/Q33</f>
        <v>0.99276881475404855</v>
      </c>
      <c r="BF34" s="66">
        <f>BF33/R33</f>
        <v>0.99030710647346809</v>
      </c>
      <c r="BG34" s="66" t="e">
        <f>BG33/S33</f>
        <v>#DIV/0!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98</v>
      </c>
      <c r="R35" s="27"/>
      <c r="S35" s="27"/>
      <c r="T35" s="27"/>
      <c r="U35" s="22" t="s">
        <v>61</v>
      </c>
      <c r="V35" s="22"/>
      <c r="W35" s="22"/>
      <c r="X35" s="22"/>
      <c r="Y35" s="81" t="s">
        <v>38</v>
      </c>
      <c r="Z35" s="81"/>
      <c r="AA35" s="81"/>
      <c r="AB35" s="81"/>
      <c r="AC35" s="139" t="s">
        <v>39</v>
      </c>
      <c r="AD35" s="139"/>
      <c r="AE35" s="139"/>
      <c r="AF35" s="139"/>
      <c r="AG35" s="68">
        <f t="shared" ref="AG35:AV35" si="48">AG34/1000</f>
        <v>0.11147180228394339</v>
      </c>
      <c r="AH35" s="68">
        <f t="shared" si="48"/>
        <v>0.11153751050887692</v>
      </c>
      <c r="AI35" s="68" t="e">
        <f t="shared" si="48"/>
        <v>#DIV/0!</v>
      </c>
      <c r="AJ35" s="68">
        <f t="shared" si="48"/>
        <v>0.16627066115702477</v>
      </c>
      <c r="AK35" s="68">
        <f t="shared" si="48"/>
        <v>0.47643712210980466</v>
      </c>
      <c r="AL35" s="68">
        <f t="shared" si="48"/>
        <v>0.4565760842688294</v>
      </c>
      <c r="AM35" s="68" t="e">
        <f t="shared" si="48"/>
        <v>#DIV/0!</v>
      </c>
      <c r="AN35" s="68">
        <f t="shared" si="48"/>
        <v>0.28760330578512394</v>
      </c>
      <c r="AO35" s="68">
        <f t="shared" si="48"/>
        <v>3.8129484224644198E-3</v>
      </c>
      <c r="AP35" s="68">
        <f t="shared" si="48"/>
        <v>3.9745314277236533E-3</v>
      </c>
      <c r="AQ35" s="68" t="e">
        <f t="shared" si="48"/>
        <v>#DIV/0!</v>
      </c>
      <c r="AR35" s="68">
        <f t="shared" si="48"/>
        <v>2.5420454545454548E-2</v>
      </c>
      <c r="AS35" s="68">
        <f t="shared" si="48"/>
        <v>3.4174763771154257E-3</v>
      </c>
      <c r="AT35" s="68">
        <f t="shared" si="48"/>
        <v>3.6691953909302214E-3</v>
      </c>
      <c r="AU35" s="68" t="e">
        <f t="shared" si="48"/>
        <v>#DIV/0!</v>
      </c>
      <c r="AV35" s="68">
        <f t="shared" si="48"/>
        <v>1.1835123966942149E-2</v>
      </c>
      <c r="AW35" s="23"/>
      <c r="AX35" s="23"/>
      <c r="AY35" s="23"/>
      <c r="AZ35" s="23"/>
      <c r="BA35" s="68">
        <f>BA34/1000</f>
        <v>0</v>
      </c>
      <c r="BB35" s="68">
        <f>BB34/1000</f>
        <v>0</v>
      </c>
      <c r="BC35" s="68" t="e">
        <f>BC34/1000</f>
        <v>#DIV/0!</v>
      </c>
      <c r="BD35" s="68">
        <f>BD34/1000</f>
        <v>0.16627066115702477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82</v>
      </c>
      <c r="U38" s="11" t="s">
        <v>83</v>
      </c>
      <c r="V38" s="11" t="s">
        <v>84</v>
      </c>
      <c r="W38" s="3"/>
      <c r="X38" s="13" t="s">
        <v>41</v>
      </c>
      <c r="Y38" s="46" t="s">
        <v>42</v>
      </c>
      <c r="Z38" s="46" t="s">
        <v>43</v>
      </c>
      <c r="AB38" s="4"/>
      <c r="AC38" s="4"/>
      <c r="AD38" s="4"/>
      <c r="AE38" s="4"/>
    </row>
    <row r="39" spans="1:64" x14ac:dyDescent="0.25">
      <c r="A39" s="1" t="s">
        <v>45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85</v>
      </c>
      <c r="Z39" s="69" t="s">
        <v>86</v>
      </c>
      <c r="AB39" s="4"/>
      <c r="AC39" s="4"/>
      <c r="AD39" s="4"/>
      <c r="AE39" s="4"/>
    </row>
    <row r="40" spans="1:64" x14ac:dyDescent="0.25">
      <c r="A40" s="1" t="s">
        <v>46</v>
      </c>
      <c r="B40" s="162">
        <f>F4</f>
        <v>40147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40</v>
      </c>
      <c r="Z40" s="11">
        <v>18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44</v>
      </c>
      <c r="Z41" s="11">
        <v>21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46</v>
      </c>
      <c r="Z42" s="22">
        <v>25</v>
      </c>
      <c r="AA42" s="71"/>
      <c r="AB42" s="4"/>
      <c r="AC42" s="4"/>
      <c r="AD42" s="4"/>
      <c r="AE42" s="4"/>
    </row>
    <row r="43" spans="1:64" ht="15.6" x14ac:dyDescent="0.3">
      <c r="B43" s="131" t="s">
        <v>76</v>
      </c>
      <c r="C43" s="111" t="s">
        <v>77</v>
      </c>
      <c r="D43" s="131" t="s">
        <v>78</v>
      </c>
      <c r="E43" s="111" t="s">
        <v>79</v>
      </c>
      <c r="F43" s="132" t="s">
        <v>55</v>
      </c>
      <c r="K43" s="131" t="s">
        <v>76</v>
      </c>
      <c r="L43" s="111" t="s">
        <v>77</v>
      </c>
      <c r="M43" s="131" t="s">
        <v>78</v>
      </c>
      <c r="N43" s="111" t="s">
        <v>79</v>
      </c>
      <c r="O43" s="132" t="s">
        <v>55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51</v>
      </c>
      <c r="Z43" s="22">
        <v>32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54</v>
      </c>
      <c r="Z44" s="22">
        <v>37</v>
      </c>
      <c r="AA44" s="71"/>
      <c r="AB44" s="4"/>
      <c r="AC44" s="4"/>
      <c r="AD44" s="4"/>
      <c r="AE44" s="4"/>
    </row>
    <row r="45" spans="1:64" ht="15.6" x14ac:dyDescent="0.3">
      <c r="A45" s="1" t="s">
        <v>106</v>
      </c>
      <c r="B45" s="122">
        <f>Q33/B10</f>
        <v>10.239599999999999</v>
      </c>
      <c r="C45" s="122">
        <f>R33/C10</f>
        <v>8.0884</v>
      </c>
      <c r="D45" s="122" t="e">
        <f>S33/D10</f>
        <v>#DIV/0!</v>
      </c>
      <c r="E45" s="122" t="e">
        <f>T33/E10</f>
        <v>#DIV/0!</v>
      </c>
      <c r="F45" s="147"/>
      <c r="G45" s="15"/>
      <c r="H45" s="15" t="s">
        <v>47</v>
      </c>
      <c r="K45" s="121">
        <f>AO33/AS33</f>
        <v>1.1157204912950409</v>
      </c>
      <c r="L45" s="121">
        <f>AP33/AT33</f>
        <v>1.0832160744418746</v>
      </c>
      <c r="M45" s="121" t="e">
        <f>AQ33/AU33</f>
        <v>#DIV/0!</v>
      </c>
      <c r="N45" s="121">
        <f>AR33/AV33</f>
        <v>2.1478824063405608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57</v>
      </c>
      <c r="Z45" s="22">
        <v>38</v>
      </c>
      <c r="AA45" s="2"/>
    </row>
    <row r="46" spans="1:64" ht="15.6" x14ac:dyDescent="0.3">
      <c r="A46" s="1" t="s">
        <v>107</v>
      </c>
      <c r="B46" s="124">
        <f>B45/B11</f>
        <v>2.0479199999999999E-2</v>
      </c>
      <c r="C46" s="124">
        <f>C45/C11</f>
        <v>1.9258095238095237E-2</v>
      </c>
      <c r="D46" s="124" t="e">
        <f>D45/D11</f>
        <v>#DIV/0!</v>
      </c>
      <c r="E46" s="124" t="e">
        <f>E45/E11</f>
        <v>#DIV/0!</v>
      </c>
      <c r="F46" s="148" t="s">
        <v>125</v>
      </c>
      <c r="G46" s="15"/>
      <c r="H46" s="123" t="s">
        <v>122</v>
      </c>
      <c r="K46" s="5">
        <f>AO33/B10-W15</f>
        <v>-14.956933333333332</v>
      </c>
      <c r="L46" s="5">
        <f>AP33/C10-W16</f>
        <v>-18.852400000000003</v>
      </c>
      <c r="M46" s="5" t="e">
        <f>AQ33/D10-X17</f>
        <v>#DIV/0!</v>
      </c>
      <c r="N46" s="5" t="e">
        <f>AR33/E10-W18</f>
        <v>#DIV/0!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2">
        <v>700</v>
      </c>
      <c r="Y46" s="22">
        <v>60</v>
      </c>
      <c r="Z46" s="22">
        <v>40</v>
      </c>
      <c r="AA46" s="2"/>
    </row>
    <row r="47" spans="1:64" ht="15.6" x14ac:dyDescent="0.3">
      <c r="A47" s="5" t="s">
        <v>108</v>
      </c>
      <c r="B47" s="122">
        <f>U33/B10</f>
        <v>7.5555555555555554</v>
      </c>
      <c r="C47" s="122">
        <f>V33/C10</f>
        <v>5.4</v>
      </c>
      <c r="D47" s="122" t="e">
        <f>W33/D10</f>
        <v>#DIV/0!</v>
      </c>
      <c r="E47" s="122" t="e">
        <f>X33/E10</f>
        <v>#DIV/0!</v>
      </c>
      <c r="F47" s="149"/>
      <c r="G47" s="15"/>
      <c r="H47" s="123" t="s">
        <v>121</v>
      </c>
      <c r="K47" s="5">
        <f>AS33/B10-X15</f>
        <v>-2.0064088888888918</v>
      </c>
      <c r="L47" s="5">
        <f>AT33/C10-X16</f>
        <v>-2.3220799999999997</v>
      </c>
      <c r="M47" s="5" t="e">
        <f>AU33/D10-X17</f>
        <v>#DIV/0!</v>
      </c>
      <c r="N47" s="5" t="e">
        <f>AV33/E10-X18</f>
        <v>#DIV/0!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109</v>
      </c>
      <c r="B48" s="122">
        <f>B45-B47</f>
        <v>2.684044444444444</v>
      </c>
      <c r="C48" s="122">
        <f>C45-C47</f>
        <v>2.6883999999999997</v>
      </c>
      <c r="D48" s="122" t="e">
        <f>D45-D47</f>
        <v>#DIV/0!</v>
      </c>
      <c r="E48" s="122" t="e">
        <f>E45-E47</f>
        <v>#DIV/0!</v>
      </c>
      <c r="F48" s="148"/>
      <c r="G48" s="15"/>
      <c r="H48" s="15" t="s">
        <v>56</v>
      </c>
      <c r="K48" s="143">
        <f>AO33/Q33/1000</f>
        <v>3.8129484224644198E-3</v>
      </c>
      <c r="L48" s="143">
        <f>AP33/R33/1000</f>
        <v>3.9745314277236533E-3</v>
      </c>
      <c r="M48" s="143" t="e">
        <f>AQ33/S33/1000</f>
        <v>#DIV/0!</v>
      </c>
      <c r="N48" s="143">
        <f>AR33/T33/1000</f>
        <v>2.5420454545454548E-2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111</v>
      </c>
      <c r="B49" s="125">
        <f>B47/B45</f>
        <v>0.73787604550524977</v>
      </c>
      <c r="C49" s="125">
        <f>C47/C45</f>
        <v>0.66762276840907975</v>
      </c>
      <c r="D49" s="125" t="e">
        <f>D47/D45</f>
        <v>#DIV/0!</v>
      </c>
      <c r="E49" s="125" t="e">
        <f>E47/E45</f>
        <v>#DIV/0!</v>
      </c>
      <c r="F49" s="148" t="s">
        <v>113</v>
      </c>
      <c r="G49" s="15"/>
      <c r="H49" s="15" t="s">
        <v>57</v>
      </c>
      <c r="I49" s="15"/>
      <c r="J49" s="15"/>
      <c r="K49" s="143">
        <f>AS33/Q33/1000</f>
        <v>3.4174763771154257E-3</v>
      </c>
      <c r="L49" s="143">
        <f>AT33/R33/1000</f>
        <v>3.6691953909302214E-3</v>
      </c>
      <c r="M49" s="143" t="e">
        <f>AU33/S33/1000</f>
        <v>#DIV/0!</v>
      </c>
      <c r="N49" s="143">
        <f>AV33/T33/1000</f>
        <v>1.1835123966942149E-2</v>
      </c>
      <c r="O49" s="154" t="s">
        <v>116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110</v>
      </c>
      <c r="B50" s="110">
        <f>B48/B12</f>
        <v>1.7893629629629626</v>
      </c>
      <c r="C50" s="110">
        <f>C48/C12</f>
        <v>1.7922666666666665</v>
      </c>
      <c r="D50" s="110" t="e">
        <f>D48/D12</f>
        <v>#DIV/0!</v>
      </c>
      <c r="E50" s="110" t="e">
        <f>E48/E12</f>
        <v>#DIV/0!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95</v>
      </c>
      <c r="B52" s="119">
        <f>Y33/B10/B12</f>
        <v>74.464888888888893</v>
      </c>
      <c r="C52" s="119">
        <f>Z33/C10/C12</f>
        <v>59.376000000000005</v>
      </c>
      <c r="D52" s="119" t="e">
        <f>AA33/D10/D12</f>
        <v>#DIV/0!</v>
      </c>
      <c r="E52" s="119" t="e">
        <f>AB33/E10/E12</f>
        <v>#DIV/0!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35</v>
      </c>
      <c r="B53" s="124">
        <f>AG35</f>
        <v>0.11147180228394339</v>
      </c>
      <c r="C53" s="124">
        <f>AH35</f>
        <v>0.11153751050887692</v>
      </c>
      <c r="D53" s="124" t="e">
        <f>AI35</f>
        <v>#DIV/0!</v>
      </c>
      <c r="E53" s="124">
        <f>AJ35</f>
        <v>0.16627066115702477</v>
      </c>
      <c r="F53" s="152" t="s">
        <v>112</v>
      </c>
      <c r="G53" s="15"/>
      <c r="H53" s="130" t="s">
        <v>87</v>
      </c>
      <c r="K53" s="146">
        <f>AW33/Q33</f>
        <v>6.1949034467492239E-2</v>
      </c>
      <c r="L53" s="146">
        <f>AX33/R33</f>
        <v>7.8532218980268048E-2</v>
      </c>
      <c r="M53" s="146" t="e">
        <f>AY33/S33</f>
        <v>#DIV/0!</v>
      </c>
      <c r="N53" s="146">
        <f>AZ33/T33</f>
        <v>2.1590909090909092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96</v>
      </c>
      <c r="B54" s="122">
        <f>AG33/Y33</f>
        <v>10.218924951953493</v>
      </c>
      <c r="C54" s="122">
        <f>AH33/Z33</f>
        <v>10.129345189975748</v>
      </c>
      <c r="D54" s="122" t="e">
        <f>AI33/AA33</f>
        <v>#DIV/0!</v>
      </c>
      <c r="E54" s="122">
        <f>AJ33/AB33</f>
        <v>14.015151515151514</v>
      </c>
      <c r="F54" s="153" t="s">
        <v>114</v>
      </c>
      <c r="G54" s="15"/>
      <c r="H54" s="130" t="s">
        <v>88</v>
      </c>
      <c r="K54" s="146">
        <f>AW33/B10</f>
        <v>0.63433333333333353</v>
      </c>
      <c r="L54" s="146">
        <f>AX33/C10</f>
        <v>0.63519999999999999</v>
      </c>
      <c r="M54" s="146" t="e">
        <f>AY33/D10</f>
        <v>#DIV/0!</v>
      </c>
      <c r="N54" s="146" t="e">
        <f>AZ33/E10</f>
        <v>#DIV/0!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6.557621986399754</v>
      </c>
      <c r="C55" s="122">
        <f>AD33/Z33</f>
        <v>6.5299110751818912</v>
      </c>
      <c r="D55" s="122" t="e">
        <f>AE33/AA33</f>
        <v>#DIV/0!</v>
      </c>
      <c r="E55" s="122">
        <f>AF33/AB33</f>
        <v>8.3333333333333339</v>
      </c>
      <c r="F55" s="153" t="s">
        <v>115</v>
      </c>
      <c r="G55" s="15"/>
      <c r="H55" s="130" t="s">
        <v>89</v>
      </c>
      <c r="K55" s="146">
        <f>K54/B12</f>
        <v>0.42288888888888904</v>
      </c>
      <c r="L55" s="146">
        <f>L54/C12</f>
        <v>0.42346666666666666</v>
      </c>
      <c r="M55" s="146" t="e">
        <f>M54/D12</f>
        <v>#DIV/0!</v>
      </c>
      <c r="N55" s="146" t="e">
        <f>N54/E12</f>
        <v>#DIV/0!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36</v>
      </c>
      <c r="B56" s="125">
        <f>AK35</f>
        <v>0.47643712210980466</v>
      </c>
      <c r="C56" s="125">
        <f>AL35</f>
        <v>0.4565760842688294</v>
      </c>
      <c r="D56" s="125" t="e">
        <f>AM35</f>
        <v>#DIV/0!</v>
      </c>
      <c r="E56" s="125">
        <f>AN35</f>
        <v>0.28760330578512394</v>
      </c>
      <c r="F56" s="154" t="s">
        <v>113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99</v>
      </c>
      <c r="B57" s="124">
        <f>AK33/B10/B11/1000</f>
        <v>9.7570511111111109E-3</v>
      </c>
      <c r="C57" s="124">
        <f>AL33/C10/C11/1000</f>
        <v>8.7927857142857131E-3</v>
      </c>
      <c r="D57" s="124" t="e">
        <f>AM33/D10/D11/1000</f>
        <v>#DIV/0!</v>
      </c>
      <c r="E57" s="124" t="e">
        <f>AN33/E10/E11/1000</f>
        <v>#DIV/0!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10.908368816490229</v>
      </c>
      <c r="C58" s="145">
        <f>Z33/R33</f>
        <v>11.011324860293755</v>
      </c>
      <c r="D58" s="145" t="e">
        <f>AA33/S33</f>
        <v>#DIV/0!</v>
      </c>
      <c r="E58" s="145">
        <f>AB33/T33</f>
        <v>11.863636363636363</v>
      </c>
      <c r="F58" s="154"/>
      <c r="G58" s="15"/>
      <c r="H58" s="127" t="s">
        <v>53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97</v>
      </c>
      <c r="I59" s="15"/>
      <c r="J59" s="15"/>
      <c r="K59" s="128">
        <f>((B13-B11)*0.0256)/(AG33/1000/6.25/B10*B14)</f>
        <v>0.21026317941289852</v>
      </c>
      <c r="L59" s="128">
        <f>((C13-C11)*0.0256)/(AH33/1000/6.25/C10*C14)</f>
        <v>0.26602819898909286</v>
      </c>
      <c r="M59" s="128" t="e">
        <f>((D13-D11)*0.0256)/(AI33/1000/6.25/D10*D14)</f>
        <v>#DIV/0!</v>
      </c>
      <c r="N59" s="128" t="e">
        <f>((E13-E11)*0.0256)/(AJ33/1000/6.25/E10*E14)</f>
        <v>#DIV/0!</v>
      </c>
      <c r="O59" s="157" t="s">
        <v>117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105</v>
      </c>
      <c r="K60" s="48">
        <f>BA35</f>
        <v>0</v>
      </c>
      <c r="L60" s="48">
        <f>BB35</f>
        <v>0</v>
      </c>
      <c r="M60" s="48" t="e">
        <f>BC35</f>
        <v>#DIV/0!</v>
      </c>
      <c r="N60" s="48">
        <f>BD35</f>
        <v>0.16627066115702477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0.9391615957237901</v>
      </c>
      <c r="C62" s="142">
        <f>Z33/C10/T16</f>
        <v>0.83769619253634608</v>
      </c>
      <c r="D62" s="142" t="e">
        <f>AA33/D10/T17</f>
        <v>#DIV/0!</v>
      </c>
      <c r="E62" s="142" t="e">
        <f>AB33/E10/T18</f>
        <v>#DIV/0!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81</v>
      </c>
      <c r="B63" s="42">
        <f>AG33/B10/U15</f>
        <v>0.92280979465945157</v>
      </c>
      <c r="C63" s="42">
        <f>AH33/C10/U16</f>
        <v>0.78567721282676251</v>
      </c>
      <c r="D63" s="42" t="e">
        <f>AI33/D10/U17</f>
        <v>#DIV/0!</v>
      </c>
      <c r="E63" s="42" t="e">
        <f>AJ33/E10/U18</f>
        <v>#DIV/0!</v>
      </c>
      <c r="F63" s="156">
        <v>1</v>
      </c>
      <c r="G63" s="15"/>
      <c r="H63" s="127" t="s">
        <v>62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0.9474871890616311</v>
      </c>
      <c r="C64" s="123">
        <f>AD33/C10/V16</f>
        <v>0.84155102235089063</v>
      </c>
      <c r="D64" s="123" t="e">
        <f>AE33/D10/V17</f>
        <v>#DIV/0!</v>
      </c>
      <c r="E64" s="123" t="e">
        <f>AF33/E10/V18</f>
        <v>#DIV/0!</v>
      </c>
      <c r="F64" s="156">
        <v>1</v>
      </c>
      <c r="G64" s="15"/>
      <c r="H64" s="15" t="s">
        <v>63</v>
      </c>
      <c r="K64" s="42">
        <f>BE33/Q33</f>
        <v>0.99276881475404855</v>
      </c>
      <c r="L64" s="42">
        <f>BF33/R33</f>
        <v>0.99030710647346809</v>
      </c>
      <c r="M64" s="42" t="e">
        <f>BG33/S33</f>
        <v>#DIV/0!</v>
      </c>
      <c r="N64" s="42">
        <f>BH33/T33</f>
        <v>0</v>
      </c>
      <c r="O64" s="160" t="s">
        <v>64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104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100</v>
      </c>
      <c r="B68" s="5">
        <f>Y33/B10-T5</f>
        <v>66.494711821249226</v>
      </c>
      <c r="C68" s="5">
        <f>Z33/C10-T6</f>
        <v>49.402139118619523</v>
      </c>
      <c r="D68" s="5" t="e">
        <f>AA33/D10-T7</f>
        <v>#DIV/0!</v>
      </c>
      <c r="E68" s="5" t="e">
        <f>AB33/E10-T8</f>
        <v>#DIV/0!</v>
      </c>
      <c r="F68" s="157"/>
      <c r="G68" s="15"/>
      <c r="H68" s="1">
        <f>5/90</f>
        <v>5.5555555555555552E-2</v>
      </c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119</v>
      </c>
      <c r="B69" s="71">
        <f>((0.522*B68)/(6.28+0.0188*B11))/(1+(((0.522*B68)/(6.28+0.0188*B11))*0.3))/0.9</f>
        <v>1.4780526051775909</v>
      </c>
      <c r="C69" s="71">
        <f>((0.522*C68)/(6.28+0.0188*C11))/(1+(((0.522*C68)/(6.28+0.0188*C11))*0.3))/0.9</f>
        <v>1.307628256048819</v>
      </c>
      <c r="D69" s="71" t="e">
        <f>((0.522*D68)/(6.28+0.0188*D11))/(1+(((0.522*D68)/(6.28+0.0188*D11))*0.3))/0.9</f>
        <v>#DIV/0!</v>
      </c>
      <c r="E69" s="71" t="e">
        <f>((0.522*E68)/(6.28+0.0188*E11))/(1+(((0.522*E68)/(6.28+0.0188*E11))*0.3))/0.9</f>
        <v>#DIV/0!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118</v>
      </c>
      <c r="B70" s="162">
        <f>F4+((B13-B11)/B69)</f>
        <v>40248.484885906328</v>
      </c>
      <c r="C70" s="162">
        <f>F4+((C13-C11)/C69)</f>
        <v>40315.243534798457</v>
      </c>
      <c r="D70" s="162" t="e">
        <f>H4+((D13-D11)/D69)</f>
        <v>#DIV/0!</v>
      </c>
      <c r="E70" s="162" t="e">
        <f>I4+((E13-E11)/E69)</f>
        <v>#DIV/0!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Y21:AB21"/>
    <mergeCell ref="F5:H5"/>
    <mergeCell ref="AO21:AR21"/>
    <mergeCell ref="AS21:AV21"/>
    <mergeCell ref="AC21:AF21"/>
    <mergeCell ref="U21:X21"/>
    <mergeCell ref="AG21:AJ21"/>
    <mergeCell ref="AK21:AN21"/>
    <mergeCell ref="C8:D8"/>
    <mergeCell ref="E8:F8"/>
    <mergeCell ref="B20:E20"/>
    <mergeCell ref="G20:M20"/>
    <mergeCell ref="F4:G4"/>
    <mergeCell ref="Q21:T21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N85"/>
  <sheetViews>
    <sheetView zoomScale="80" zoomScaleNormal="80" workbookViewId="0">
      <selection activeCell="I8" sqref="I8"/>
    </sheetView>
  </sheetViews>
  <sheetFormatPr defaultColWidth="9.109375" defaultRowHeight="15" x14ac:dyDescent="0.25"/>
  <cols>
    <col min="1" max="1" width="30.88671875" style="1" customWidth="1"/>
    <col min="2" max="5" width="9.44140625" style="2" customWidth="1"/>
    <col min="6" max="6" width="8.6640625" style="1" customWidth="1"/>
    <col min="7" max="7" width="5.88671875" style="1" customWidth="1"/>
    <col min="8" max="8" width="8.5546875" style="1" customWidth="1"/>
    <col min="9" max="9" width="6.109375" style="1" customWidth="1"/>
    <col min="10" max="10" width="7.88671875" style="1" customWidth="1"/>
    <col min="11" max="12" width="9.33203125" style="1" customWidth="1"/>
    <col min="13" max="13" width="9.44140625" style="1" customWidth="1"/>
    <col min="14" max="14" width="9.3320312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4.6640625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6640625" style="1" customWidth="1"/>
    <col min="28" max="29" width="6.5546875" style="1" customWidth="1"/>
    <col min="30" max="38" width="9.109375" style="1" customWidth="1"/>
    <col min="39" max="40" width="9.6640625" style="1" bestFit="1" customWidth="1"/>
    <col min="41" max="48" width="9.33203125" style="1" bestFit="1" customWidth="1"/>
    <col min="49" max="49" width="9.88671875" style="1" bestFit="1" customWidth="1"/>
    <col min="50" max="54" width="9.33203125" style="1" bestFit="1" customWidth="1"/>
    <col min="55" max="16384" width="9.109375" style="1"/>
  </cols>
  <sheetData>
    <row r="2" spans="1:31" ht="28.2" x14ac:dyDescent="0.4">
      <c r="A2" s="10" t="s">
        <v>7</v>
      </c>
      <c r="F2" s="30" t="s">
        <v>138</v>
      </c>
      <c r="G2" s="159"/>
      <c r="H2" s="176"/>
      <c r="I2" s="2"/>
      <c r="L2" s="173" t="s">
        <v>44</v>
      </c>
      <c r="M2" s="174"/>
      <c r="N2" s="174"/>
      <c r="Q2" s="93" t="s">
        <v>75</v>
      </c>
      <c r="R2" s="52"/>
      <c r="S2" s="22"/>
      <c r="T2" s="168" t="s">
        <v>123</v>
      </c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175" t="s">
        <v>59</v>
      </c>
      <c r="M3" s="159"/>
      <c r="N3" s="28"/>
      <c r="Q3" s="2"/>
      <c r="R3" s="22" t="s">
        <v>71</v>
      </c>
      <c r="S3" s="22" t="s">
        <v>23</v>
      </c>
      <c r="T3" s="22" t="s">
        <v>37</v>
      </c>
      <c r="U3" s="2" t="s">
        <v>81</v>
      </c>
      <c r="V3" s="22" t="s">
        <v>49</v>
      </c>
      <c r="W3" s="22" t="s">
        <v>50</v>
      </c>
      <c r="X3" s="22" t="s">
        <v>51</v>
      </c>
      <c r="AC3" s="4"/>
      <c r="AD3" s="4"/>
      <c r="AE3" s="4"/>
    </row>
    <row r="4" spans="1:31" ht="15.6" x14ac:dyDescent="0.3">
      <c r="A4" s="1" t="s">
        <v>8</v>
      </c>
      <c r="B4" s="169">
        <v>7</v>
      </c>
      <c r="C4" s="1"/>
      <c r="D4" s="1" t="s">
        <v>9</v>
      </c>
      <c r="E4" s="1"/>
      <c r="F4" s="182">
        <v>37917</v>
      </c>
      <c r="G4" s="183"/>
      <c r="H4" s="12"/>
      <c r="I4" s="16"/>
      <c r="P4" s="2"/>
      <c r="Q4" s="163" t="s">
        <v>27</v>
      </c>
      <c r="R4" s="95"/>
      <c r="S4" s="164"/>
      <c r="T4" s="97">
        <f>R5*T5+R6*T6+R7*T7+R8*T8</f>
        <v>1595.6740124002231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>
        <v>80174</v>
      </c>
      <c r="C5" s="14"/>
      <c r="D5" s="1" t="s">
        <v>92</v>
      </c>
      <c r="E5" s="1"/>
      <c r="F5" s="185">
        <v>0</v>
      </c>
      <c r="G5" s="185"/>
      <c r="H5" s="183"/>
      <c r="I5" s="16"/>
      <c r="L5" s="177"/>
      <c r="M5" s="159"/>
      <c r="N5" s="178"/>
      <c r="O5" s="2"/>
      <c r="P5" s="2"/>
      <c r="Q5" s="95" t="s">
        <v>76</v>
      </c>
      <c r="R5" s="164">
        <f>$B$10</f>
        <v>14</v>
      </c>
      <c r="S5" s="165">
        <f>$B$11</f>
        <v>150</v>
      </c>
      <c r="T5" s="59">
        <f>(($S5^0.75)*0.475)*1.05</f>
        <v>21.377226214684143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77</v>
      </c>
      <c r="R6" s="164">
        <f>$C$10</f>
        <v>10</v>
      </c>
      <c r="S6" s="164">
        <f>$C$11</f>
        <v>260</v>
      </c>
      <c r="T6" s="59">
        <f>(($S6^0.75)*0.475)*1.05</f>
        <v>32.293336624245534</v>
      </c>
      <c r="U6" s="59"/>
      <c r="V6" s="61"/>
      <c r="W6" s="60"/>
      <c r="X6" s="61"/>
      <c r="Y6" s="2"/>
      <c r="Z6" s="2" t="s">
        <v>101</v>
      </c>
      <c r="AA6" s="2" t="s">
        <v>102</v>
      </c>
      <c r="AB6" s="2" t="s">
        <v>103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78</v>
      </c>
      <c r="R7" s="61">
        <f>$D$10</f>
        <v>10</v>
      </c>
      <c r="S7" s="165">
        <f>$D$11</f>
        <v>400</v>
      </c>
      <c r="T7" s="59">
        <f>(($S7^0.75)*0.475)*1.05</f>
        <v>44.609556151120806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186"/>
      <c r="D8" s="187"/>
      <c r="E8" s="186"/>
      <c r="F8" s="188"/>
      <c r="G8" s="12"/>
      <c r="I8" s="16"/>
      <c r="J8" s="54"/>
      <c r="K8" s="12"/>
      <c r="L8" s="38"/>
      <c r="M8" s="19"/>
      <c r="N8" s="12"/>
      <c r="O8" s="12"/>
      <c r="Q8" s="166" t="s">
        <v>79</v>
      </c>
      <c r="R8" s="164">
        <f>$E$10</f>
        <v>10</v>
      </c>
      <c r="S8" s="167">
        <f>$E$11</f>
        <v>500</v>
      </c>
      <c r="T8" s="59">
        <f>(($S8^0.75)*0.475)*1.05</f>
        <v>52.736391764098144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68</v>
      </c>
      <c r="C9" s="100" t="s">
        <v>67</v>
      </c>
      <c r="D9" s="100" t="s">
        <v>69</v>
      </c>
      <c r="E9" s="100" t="s">
        <v>70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1520.5587847748802</v>
      </c>
      <c r="U9" s="97">
        <f>$R$10*U10+$R$11*U11+$R$12*U12+$R$13*U13</f>
        <v>35369.581443751544</v>
      </c>
      <c r="V9" s="97">
        <f>$R$10*V10+$R$11*V11+$R$12*V12+$R$13*V13</f>
        <v>20928.142920418009</v>
      </c>
      <c r="W9" s="97">
        <f>$R$10*W10+$R$11*W11+$R$12*W12+$R$13*W13</f>
        <v>1448</v>
      </c>
      <c r="X9" s="97">
        <f>$R$10*X10+$R$11*X11+$R$12*X12+$R$13*X13</f>
        <v>952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71</v>
      </c>
      <c r="B10" s="78">
        <v>14</v>
      </c>
      <c r="C10" s="78">
        <v>10</v>
      </c>
      <c r="D10" s="78">
        <v>10</v>
      </c>
      <c r="E10" s="78">
        <v>10</v>
      </c>
      <c r="F10" s="102">
        <f>SUM(B10:E10)</f>
        <v>44</v>
      </c>
      <c r="H10" s="85"/>
      <c r="O10" s="12"/>
      <c r="Q10" s="95" t="s">
        <v>76</v>
      </c>
      <c r="R10" s="164">
        <f>$B$10</f>
        <v>14</v>
      </c>
      <c r="S10" s="165">
        <f>$B$11</f>
        <v>150</v>
      </c>
      <c r="T10" s="60">
        <f>((B12*(6.28+0.0188*S10))/((1-0.3*B12)*0.435))*1.05</f>
        <v>27.08077468115258</v>
      </c>
      <c r="U10" s="59">
        <f>LOOKUP($S10,$T$39:$T$62,$U$39:$U$62)*(T10+T5)</f>
        <v>634.79981173546105</v>
      </c>
      <c r="V10" s="59">
        <f>LOOKUP($S10,$T$39:$T$62,$V$39:$V$62)*(T10+T5)</f>
        <v>351.32050649481619</v>
      </c>
      <c r="W10" s="59">
        <f>LOOKUP($S10,$X$40:$X$45,Y40:Y45)</f>
        <v>27</v>
      </c>
      <c r="X10" s="59">
        <f>LOOKUP($S10,$X$40:$X$45,Z40:Z45)</f>
        <v>13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150</v>
      </c>
      <c r="C11" s="78">
        <v>260</v>
      </c>
      <c r="D11" s="78">
        <v>400</v>
      </c>
      <c r="E11" s="78">
        <v>500</v>
      </c>
      <c r="F11" s="103">
        <f>(B10*B11+C11*C10+D11*D10+E10*E11)/(B10+C10+D10+E10)</f>
        <v>311.36363636363637</v>
      </c>
      <c r="H11" s="12"/>
      <c r="O11" s="12"/>
      <c r="Q11" s="166" t="s">
        <v>77</v>
      </c>
      <c r="R11" s="164">
        <f>$C$10</f>
        <v>10</v>
      </c>
      <c r="S11" s="164">
        <f>$C$11</f>
        <v>260</v>
      </c>
      <c r="T11" s="60">
        <f>((C12*(6.28+0.0188*S11))/((1-0.3*C12)*0.435))*1.05</f>
        <v>33.234955125177137</v>
      </c>
      <c r="U11" s="59">
        <f>LOOKUP($S11,$T$39:$T$62,$U$39:$U$62)*(T11+T6)</f>
        <v>760.12818429330287</v>
      </c>
      <c r="V11" s="59">
        <f>LOOKUP($S11,$T$39:$T$62,$V$39:$V$62)*(T11+T6)</f>
        <v>442.31596930860297</v>
      </c>
      <c r="W11" s="59">
        <f>LOOKUP($S11,$X$40:$X$45,Y40:Y45)</f>
        <v>30</v>
      </c>
      <c r="X11" s="59">
        <f>LOOKUP($S11,$X$40:$X$45,Z40:Z45)</f>
        <v>15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91</v>
      </c>
      <c r="B12" s="78">
        <v>0.9</v>
      </c>
      <c r="C12" s="105">
        <v>0.9</v>
      </c>
      <c r="D12" s="105">
        <v>0.9</v>
      </c>
      <c r="E12" s="78">
        <v>0.8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80</v>
      </c>
      <c r="R12" s="61">
        <f>$D$10</f>
        <v>10</v>
      </c>
      <c r="S12" s="165">
        <f>$D$11</f>
        <v>400</v>
      </c>
      <c r="T12" s="60">
        <f>((D12*(6.28+0.0188*S12))/((1-0.3*D12)*0.435))*1.05</f>
        <v>41.067548417572041</v>
      </c>
      <c r="U12" s="59">
        <f>LOOKUP($S12,$T$39:$T$62,$U$39:$U$62)*(T12+T7)</f>
        <v>925.31272934188269</v>
      </c>
      <c r="V12" s="59">
        <f>LOOKUP($S12,$T$39:$T$62,$V$39:$V$62)*(T12+T7)</f>
        <v>556.9011796965035</v>
      </c>
      <c r="W12" s="59">
        <f>LOOKUP($S12,$X$40:$X$45,Y40:Y45)</f>
        <v>37</v>
      </c>
      <c r="X12" s="59">
        <f>LOOKUP($S12,$X$40:$X$45,Z40:Z45)</f>
        <v>29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72</v>
      </c>
      <c r="B13" s="78">
        <v>550</v>
      </c>
      <c r="C13" s="105">
        <v>550</v>
      </c>
      <c r="D13" s="105">
        <v>550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79</v>
      </c>
      <c r="R13" s="164">
        <f>$E$10</f>
        <v>10</v>
      </c>
      <c r="S13" s="167">
        <f>$E$11</f>
        <v>500</v>
      </c>
      <c r="T13" s="60">
        <f>((E12*(6.28+0.0188*S13))/((1-0.3*E12)*0.435))*1.05</f>
        <v>39.840290381125236</v>
      </c>
      <c r="U13" s="59">
        <f>LOOKUP($S13,$T$39:$T$62,$U$39:$U$62)*(T13+T8)</f>
        <v>962.79749431032315</v>
      </c>
      <c r="V13" s="59">
        <f>LOOKUP($S13,$T$39:$T$62,$V$39:$V$62)*(T13+T8)</f>
        <v>601.74843394395191</v>
      </c>
      <c r="W13" s="59">
        <f>LOOKUP($S13,$X$40:$X$45,Y40:Y45)</f>
        <v>40</v>
      </c>
      <c r="X13" s="59">
        <f>LOOKUP($S13,$X$40:$X$45,Z40:Z45)</f>
        <v>33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73</v>
      </c>
      <c r="B14" s="53">
        <f>(B13-B11)/B12</f>
        <v>444.44444444444446</v>
      </c>
      <c r="C14" s="53">
        <f>(C13-C11)/C12</f>
        <v>322.22222222222223</v>
      </c>
      <c r="D14" s="53">
        <f>(D13-D11)/D12</f>
        <v>166.66666666666666</v>
      </c>
      <c r="E14" s="53">
        <f>(E13-E11)/E12</f>
        <v>125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8" si="0">T4+T9</f>
        <v>3116.2327971751033</v>
      </c>
      <c r="U14" s="63">
        <f t="shared" si="0"/>
        <v>35369.581443751544</v>
      </c>
      <c r="V14" s="63">
        <f t="shared" si="0"/>
        <v>20928.142920418009</v>
      </c>
      <c r="W14" s="63">
        <f>W13+W11+W9+W6+W7</f>
        <v>1518</v>
      </c>
      <c r="X14" s="64">
        <f>X13+X9</f>
        <v>985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74</v>
      </c>
      <c r="B15" s="161">
        <f>$F$4+B14</f>
        <v>38361.444444444445</v>
      </c>
      <c r="C15" s="161">
        <f>$F$4+C14</f>
        <v>38239.222222222219</v>
      </c>
      <c r="D15" s="161">
        <f>$F$4+D14</f>
        <v>38083.666666666664</v>
      </c>
      <c r="E15" s="161">
        <f>$F$4+E14</f>
        <v>38042</v>
      </c>
      <c r="H15" s="56"/>
      <c r="I15" s="15"/>
      <c r="J15" s="15"/>
      <c r="K15" s="15"/>
      <c r="L15" s="15"/>
      <c r="M15" s="15"/>
      <c r="N15" s="15"/>
      <c r="O15" s="20"/>
      <c r="Q15" s="95" t="s">
        <v>76</v>
      </c>
      <c r="R15" s="164">
        <f>$B$10</f>
        <v>14</v>
      </c>
      <c r="S15" s="165">
        <f>$B$11</f>
        <v>150</v>
      </c>
      <c r="T15" s="59">
        <f t="shared" si="0"/>
        <v>48.458000895836719</v>
      </c>
      <c r="U15" s="59">
        <f t="shared" si="0"/>
        <v>634.79981173546105</v>
      </c>
      <c r="V15" s="59">
        <f t="shared" si="0"/>
        <v>351.32050649481619</v>
      </c>
      <c r="W15" s="59">
        <f t="shared" ref="W15:X18" si="1">W5+W10</f>
        <v>27</v>
      </c>
      <c r="X15" s="59">
        <f t="shared" si="1"/>
        <v>13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77</v>
      </c>
      <c r="R16" s="164">
        <f>$C$10</f>
        <v>10</v>
      </c>
      <c r="S16" s="164">
        <f>$C$11</f>
        <v>260</v>
      </c>
      <c r="T16" s="59">
        <f t="shared" si="0"/>
        <v>65.528291749422664</v>
      </c>
      <c r="U16" s="59">
        <f t="shared" si="0"/>
        <v>760.12818429330287</v>
      </c>
      <c r="V16" s="59">
        <f t="shared" si="0"/>
        <v>442.31596930860297</v>
      </c>
      <c r="W16" s="59">
        <f t="shared" si="1"/>
        <v>30</v>
      </c>
      <c r="X16" s="59">
        <f t="shared" si="1"/>
        <v>15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80</v>
      </c>
      <c r="R17" s="61">
        <f>$D$10</f>
        <v>10</v>
      </c>
      <c r="S17" s="165">
        <f>$D$11</f>
        <v>400</v>
      </c>
      <c r="T17" s="59">
        <f t="shared" si="0"/>
        <v>85.67710456869284</v>
      </c>
      <c r="U17" s="59">
        <f t="shared" si="0"/>
        <v>925.31272934188269</v>
      </c>
      <c r="V17" s="59">
        <f t="shared" si="0"/>
        <v>556.9011796965035</v>
      </c>
      <c r="W17" s="59">
        <f t="shared" si="1"/>
        <v>37</v>
      </c>
      <c r="X17" s="59">
        <f t="shared" si="1"/>
        <v>29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79</v>
      </c>
      <c r="R18" s="164">
        <f>$E$10</f>
        <v>10</v>
      </c>
      <c r="S18" s="167">
        <f>$E$11</f>
        <v>500</v>
      </c>
      <c r="T18" s="59">
        <f t="shared" si="0"/>
        <v>92.576682145223373</v>
      </c>
      <c r="U18" s="59">
        <f t="shared" si="0"/>
        <v>962.79749431032315</v>
      </c>
      <c r="V18" s="59">
        <f t="shared" si="0"/>
        <v>601.74843394395191</v>
      </c>
      <c r="W18" s="59">
        <f t="shared" si="1"/>
        <v>40</v>
      </c>
      <c r="X18" s="59">
        <f t="shared" si="1"/>
        <v>33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191" t="s">
        <v>120</v>
      </c>
      <c r="C20" s="191"/>
      <c r="D20" s="191"/>
      <c r="E20" s="191"/>
      <c r="F20" s="2"/>
      <c r="G20" s="190" t="s">
        <v>94</v>
      </c>
      <c r="H20" s="190"/>
      <c r="I20" s="190"/>
      <c r="J20" s="190"/>
      <c r="K20" s="190"/>
      <c r="L20" s="190"/>
      <c r="M20" s="190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48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33</v>
      </c>
      <c r="K21" s="69" t="s">
        <v>34</v>
      </c>
      <c r="L21" s="69" t="s">
        <v>4</v>
      </c>
      <c r="M21" s="69" t="s">
        <v>5</v>
      </c>
      <c r="N21" s="69" t="s">
        <v>21</v>
      </c>
      <c r="O21" s="76" t="s">
        <v>60</v>
      </c>
      <c r="P21" s="76" t="s">
        <v>52</v>
      </c>
      <c r="Q21" s="184" t="s">
        <v>40</v>
      </c>
      <c r="R21" s="184"/>
      <c r="S21" s="184"/>
      <c r="T21" s="184"/>
      <c r="U21" s="179" t="s">
        <v>25</v>
      </c>
      <c r="V21" s="180"/>
      <c r="W21" s="180"/>
      <c r="X21" s="181"/>
      <c r="Y21" s="179" t="s">
        <v>37</v>
      </c>
      <c r="Z21" s="180"/>
      <c r="AA21" s="180"/>
      <c r="AB21" s="181"/>
      <c r="AC21" s="179" t="s">
        <v>1</v>
      </c>
      <c r="AD21" s="180"/>
      <c r="AE21" s="180"/>
      <c r="AF21" s="181"/>
      <c r="AG21" s="179" t="s">
        <v>33</v>
      </c>
      <c r="AH21" s="180"/>
      <c r="AI21" s="180"/>
      <c r="AJ21" s="180"/>
      <c r="AK21" s="179" t="s">
        <v>34</v>
      </c>
      <c r="AL21" s="180"/>
      <c r="AM21" s="180"/>
      <c r="AN21" s="180"/>
      <c r="AO21" s="179" t="s">
        <v>4</v>
      </c>
      <c r="AP21" s="180"/>
      <c r="AQ21" s="180"/>
      <c r="AR21" s="180"/>
      <c r="AS21" s="179" t="s">
        <v>5</v>
      </c>
      <c r="AT21" s="180"/>
      <c r="AU21" s="180"/>
      <c r="AV21" s="180"/>
      <c r="AW21" s="75" t="s">
        <v>65</v>
      </c>
      <c r="AX21" s="75"/>
      <c r="AY21" s="75"/>
      <c r="AZ21" s="75"/>
      <c r="BA21" s="77" t="s">
        <v>66</v>
      </c>
      <c r="BB21" s="77"/>
      <c r="BC21" s="77"/>
      <c r="BD21" s="77"/>
      <c r="BE21" s="2" t="s">
        <v>52</v>
      </c>
      <c r="BF21" s="2"/>
      <c r="BG21" s="2"/>
      <c r="BH21" s="2"/>
      <c r="BI21" s="1"/>
      <c r="BM21" s="1"/>
      <c r="BN21" s="1"/>
    </row>
    <row r="22" spans="1:66" x14ac:dyDescent="0.25">
      <c r="A22" s="114" t="s">
        <v>29</v>
      </c>
      <c r="B22" s="105">
        <v>28</v>
      </c>
      <c r="C22" s="105">
        <v>49</v>
      </c>
      <c r="D22" s="105">
        <v>61</v>
      </c>
      <c r="E22" s="105">
        <v>70</v>
      </c>
      <c r="F22" s="33">
        <v>1</v>
      </c>
      <c r="G22" s="6">
        <v>1</v>
      </c>
      <c r="H22" s="7">
        <v>10</v>
      </c>
      <c r="I22" s="8">
        <v>69</v>
      </c>
      <c r="J22" s="8">
        <v>160</v>
      </c>
      <c r="K22" s="8">
        <v>450</v>
      </c>
      <c r="L22" s="7">
        <v>6</v>
      </c>
      <c r="M22" s="7">
        <v>3.5</v>
      </c>
      <c r="N22" s="49">
        <v>58</v>
      </c>
      <c r="O22" s="9">
        <v>0</v>
      </c>
      <c r="P22" s="9">
        <v>0</v>
      </c>
      <c r="Q22" s="43">
        <f t="shared" ref="Q22:Q32" si="2">B22*$F22</f>
        <v>28</v>
      </c>
      <c r="R22" s="43">
        <f t="shared" ref="R22:R32" si="3">C22*$F22</f>
        <v>49</v>
      </c>
      <c r="S22" s="43">
        <f t="shared" ref="S22:S32" si="4">D22*$F22</f>
        <v>61</v>
      </c>
      <c r="T22" s="43">
        <f t="shared" ref="T22:T32" si="5">E22*$F22</f>
        <v>70</v>
      </c>
      <c r="U22" s="43">
        <f t="shared" ref="U22:U32" si="6">Q22*$G22</f>
        <v>28</v>
      </c>
      <c r="V22" s="43">
        <f t="shared" ref="V22:V32" si="7">R22*$G22</f>
        <v>49</v>
      </c>
      <c r="W22" s="43">
        <f t="shared" ref="W22:W32" si="8">S22*$G22</f>
        <v>61</v>
      </c>
      <c r="X22" s="43">
        <f t="shared" ref="X22:X32" si="9">T22*$G22</f>
        <v>70</v>
      </c>
      <c r="Y22" s="43">
        <f t="shared" ref="Y22:Y32" si="10">$H22*Q22</f>
        <v>280</v>
      </c>
      <c r="Z22" s="43">
        <f t="shared" ref="Z22:Z32" si="11">$H22*R22</f>
        <v>490</v>
      </c>
      <c r="AA22" s="43">
        <f t="shared" ref="AA22:AA32" si="12">$H22*S22</f>
        <v>610</v>
      </c>
      <c r="AB22" s="43">
        <f t="shared" ref="AB22:AB32" si="13">$H22*T22</f>
        <v>700</v>
      </c>
      <c r="AC22" s="43">
        <f t="shared" ref="AC22:AC32" si="14">Q22*$I22</f>
        <v>1932</v>
      </c>
      <c r="AD22" s="43">
        <f t="shared" ref="AD22:AD32" si="15">R22*$I22</f>
        <v>3381</v>
      </c>
      <c r="AE22" s="43">
        <f t="shared" ref="AE22:AE32" si="16">S22*$I22</f>
        <v>4209</v>
      </c>
      <c r="AF22" s="43">
        <f t="shared" ref="AF22:AF32" si="17">T22*$I22</f>
        <v>4830</v>
      </c>
      <c r="AG22" s="43">
        <f t="shared" ref="AG22:AG32" si="18">Q22*$J22</f>
        <v>4480</v>
      </c>
      <c r="AH22" s="43">
        <f t="shared" ref="AH22:AH32" si="19">R22*$J22</f>
        <v>7840</v>
      </c>
      <c r="AI22" s="43">
        <f t="shared" ref="AI22:AI32" si="20">S22*$J22</f>
        <v>9760</v>
      </c>
      <c r="AJ22" s="43">
        <f t="shared" ref="AJ22:AJ32" si="21">T22*$J22</f>
        <v>11200</v>
      </c>
      <c r="AK22" s="43">
        <f t="shared" ref="AK22:AK32" si="22">Q22*$K22</f>
        <v>12600</v>
      </c>
      <c r="AL22" s="43">
        <f t="shared" ref="AL22:AL32" si="23">R22*$K22</f>
        <v>22050</v>
      </c>
      <c r="AM22" s="43">
        <f t="shared" ref="AM22:AM32" si="24">S22*$K22</f>
        <v>27450</v>
      </c>
      <c r="AN22" s="43">
        <f t="shared" ref="AN22:AN32" si="25">T22*$K22</f>
        <v>31500</v>
      </c>
      <c r="AO22" s="43">
        <f t="shared" ref="AO22:AO32" si="26">Q22*$L22</f>
        <v>168</v>
      </c>
      <c r="AP22" s="43">
        <f t="shared" ref="AP22:AP32" si="27">R22*$L22</f>
        <v>294</v>
      </c>
      <c r="AQ22" s="43">
        <f t="shared" ref="AQ22:AQ32" si="28">S22*$L22</f>
        <v>366</v>
      </c>
      <c r="AR22" s="43">
        <f t="shared" ref="AR22:AR32" si="29">T22*$L22</f>
        <v>420</v>
      </c>
      <c r="AS22" s="43">
        <f t="shared" ref="AS22:AS32" si="30">Q22*$M22</f>
        <v>98</v>
      </c>
      <c r="AT22" s="43">
        <f t="shared" ref="AT22:AT32" si="31">R22*$M22</f>
        <v>171.5</v>
      </c>
      <c r="AU22" s="43">
        <f t="shared" ref="AU22:AU32" si="32">S22*$M22</f>
        <v>213.5</v>
      </c>
      <c r="AV22" s="43">
        <f t="shared" ref="AV22:AV32" si="33">T22*$M22</f>
        <v>245</v>
      </c>
      <c r="AW22" s="45">
        <f t="shared" ref="AW22:AW32" si="34">$N22*B22/100</f>
        <v>16.239999999999998</v>
      </c>
      <c r="AX22" s="45">
        <f t="shared" ref="AX22:AX32" si="35">$N22*C22/100</f>
        <v>28.42</v>
      </c>
      <c r="AY22" s="45">
        <f t="shared" ref="AY22:AY32" si="36">$N22*D22/100</f>
        <v>35.380000000000003</v>
      </c>
      <c r="AZ22" s="45">
        <f t="shared" ref="AZ22:AZ32" si="37">$N22*E22/100</f>
        <v>40.6</v>
      </c>
      <c r="BA22" s="45">
        <f t="shared" ref="BA22:BA32" si="38">$O22*AG22</f>
        <v>0</v>
      </c>
      <c r="BB22" s="45">
        <f t="shared" ref="BB22:BB32" si="39">$O22*AH22</f>
        <v>0</v>
      </c>
      <c r="BC22" s="45">
        <f t="shared" ref="BC22:BC32" si="40">$O22*AI22</f>
        <v>0</v>
      </c>
      <c r="BD22" s="45">
        <f t="shared" ref="BD22:BD32" si="41">$O22*AJ22</f>
        <v>0</v>
      </c>
      <c r="BE22" s="44">
        <f t="shared" ref="BE22:BE32" si="42">$P22*Q22</f>
        <v>0</v>
      </c>
      <c r="BF22" s="44">
        <f t="shared" ref="BF22:BF32" si="43">$P22*R22</f>
        <v>0</v>
      </c>
      <c r="BG22" s="44">
        <f t="shared" ref="BG22:BG32" si="44">$P22*S22</f>
        <v>0</v>
      </c>
      <c r="BH22" s="44">
        <f t="shared" ref="BH22:BH32" si="45">$P22*T22</f>
        <v>0</v>
      </c>
      <c r="BJ22" s="4"/>
      <c r="BK22" s="4"/>
      <c r="BL22" s="4"/>
    </row>
    <row r="23" spans="1:66" s="4" customFormat="1" x14ac:dyDescent="0.25">
      <c r="A23" s="114" t="s">
        <v>30</v>
      </c>
      <c r="B23" s="105"/>
      <c r="C23" s="105"/>
      <c r="D23" s="105"/>
      <c r="E23" s="105"/>
      <c r="F23" s="33">
        <v>0.42599999999999999</v>
      </c>
      <c r="G23" s="6">
        <v>1</v>
      </c>
      <c r="H23" s="7">
        <v>11.4</v>
      </c>
      <c r="I23" s="8">
        <v>82</v>
      </c>
      <c r="J23" s="8">
        <v>90</v>
      </c>
      <c r="K23" s="8">
        <v>400</v>
      </c>
      <c r="L23" s="7">
        <v>1.5</v>
      </c>
      <c r="M23" s="7">
        <v>2.2999999999999998</v>
      </c>
      <c r="N23" s="49">
        <v>46</v>
      </c>
      <c r="O23" s="80">
        <v>0</v>
      </c>
      <c r="P23" s="80">
        <v>0</v>
      </c>
      <c r="Q23" s="43">
        <f t="shared" si="2"/>
        <v>0</v>
      </c>
      <c r="R23" s="43">
        <f t="shared" si="3"/>
        <v>0</v>
      </c>
      <c r="S23" s="43">
        <f t="shared" si="4"/>
        <v>0</v>
      </c>
      <c r="T23" s="43">
        <f t="shared" si="5"/>
        <v>0</v>
      </c>
      <c r="U23" s="43">
        <f t="shared" si="6"/>
        <v>0</v>
      </c>
      <c r="V23" s="43">
        <f t="shared" si="7"/>
        <v>0</v>
      </c>
      <c r="W23" s="43">
        <f t="shared" si="8"/>
        <v>0</v>
      </c>
      <c r="X23" s="43">
        <f t="shared" si="9"/>
        <v>0</v>
      </c>
      <c r="Y23" s="43">
        <f t="shared" si="10"/>
        <v>0</v>
      </c>
      <c r="Z23" s="43">
        <f t="shared" si="11"/>
        <v>0</v>
      </c>
      <c r="AA23" s="43">
        <f t="shared" si="12"/>
        <v>0</v>
      </c>
      <c r="AB23" s="43">
        <f t="shared" si="13"/>
        <v>0</v>
      </c>
      <c r="AC23" s="43">
        <f t="shared" si="14"/>
        <v>0</v>
      </c>
      <c r="AD23" s="43">
        <f t="shared" si="15"/>
        <v>0</v>
      </c>
      <c r="AE23" s="43">
        <f t="shared" si="16"/>
        <v>0</v>
      </c>
      <c r="AF23" s="43">
        <f t="shared" si="17"/>
        <v>0</v>
      </c>
      <c r="AG23" s="43">
        <f t="shared" si="18"/>
        <v>0</v>
      </c>
      <c r="AH23" s="43">
        <f t="shared" si="19"/>
        <v>0</v>
      </c>
      <c r="AI23" s="43">
        <f t="shared" si="20"/>
        <v>0</v>
      </c>
      <c r="AJ23" s="43">
        <f t="shared" si="21"/>
        <v>0</v>
      </c>
      <c r="AK23" s="43">
        <f t="shared" si="22"/>
        <v>0</v>
      </c>
      <c r="AL23" s="43">
        <f t="shared" si="23"/>
        <v>0</v>
      </c>
      <c r="AM23" s="43">
        <f t="shared" si="24"/>
        <v>0</v>
      </c>
      <c r="AN23" s="43">
        <f t="shared" si="25"/>
        <v>0</v>
      </c>
      <c r="AO23" s="43">
        <f t="shared" si="26"/>
        <v>0</v>
      </c>
      <c r="AP23" s="43">
        <f t="shared" si="27"/>
        <v>0</v>
      </c>
      <c r="AQ23" s="43">
        <f t="shared" si="28"/>
        <v>0</v>
      </c>
      <c r="AR23" s="43">
        <f t="shared" si="29"/>
        <v>0</v>
      </c>
      <c r="AS23" s="43">
        <f t="shared" si="30"/>
        <v>0</v>
      </c>
      <c r="AT23" s="43">
        <f t="shared" si="31"/>
        <v>0</v>
      </c>
      <c r="AU23" s="43">
        <f t="shared" si="32"/>
        <v>0</v>
      </c>
      <c r="AV23" s="43">
        <f t="shared" si="33"/>
        <v>0</v>
      </c>
      <c r="AW23" s="45">
        <f t="shared" si="34"/>
        <v>0</v>
      </c>
      <c r="AX23" s="45">
        <f t="shared" si="35"/>
        <v>0</v>
      </c>
      <c r="AY23" s="45">
        <f t="shared" si="36"/>
        <v>0</v>
      </c>
      <c r="AZ23" s="45">
        <f t="shared" si="37"/>
        <v>0</v>
      </c>
      <c r="BA23" s="45">
        <f t="shared" si="38"/>
        <v>0</v>
      </c>
      <c r="BB23" s="45">
        <f t="shared" si="39"/>
        <v>0</v>
      </c>
      <c r="BC23" s="45">
        <f t="shared" si="40"/>
        <v>0</v>
      </c>
      <c r="BD23" s="45">
        <f t="shared" si="41"/>
        <v>0</v>
      </c>
      <c r="BE23" s="44">
        <f t="shared" si="42"/>
        <v>0</v>
      </c>
      <c r="BF23" s="44">
        <f t="shared" si="43"/>
        <v>0</v>
      </c>
      <c r="BG23" s="44">
        <f t="shared" si="44"/>
        <v>0</v>
      </c>
      <c r="BH23" s="44">
        <f t="shared" si="45"/>
        <v>0</v>
      </c>
      <c r="BI23" s="1"/>
      <c r="BM23" s="1"/>
      <c r="BN23" s="1"/>
    </row>
    <row r="24" spans="1:66" s="4" customFormat="1" x14ac:dyDescent="0.25">
      <c r="A24" s="114" t="s">
        <v>28</v>
      </c>
      <c r="B24" s="105">
        <v>14</v>
      </c>
      <c r="C24" s="105"/>
      <c r="D24" s="105"/>
      <c r="E24" s="105"/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si="2"/>
        <v>11.76</v>
      </c>
      <c r="R24" s="43">
        <f t="shared" si="3"/>
        <v>0</v>
      </c>
      <c r="S24" s="43">
        <f t="shared" si="4"/>
        <v>0</v>
      </c>
      <c r="T24" s="43">
        <f t="shared" si="5"/>
        <v>0</v>
      </c>
      <c r="U24" s="43">
        <f t="shared" si="6"/>
        <v>11.76</v>
      </c>
      <c r="V24" s="43">
        <f t="shared" si="7"/>
        <v>0</v>
      </c>
      <c r="W24" s="43">
        <f t="shared" si="8"/>
        <v>0</v>
      </c>
      <c r="X24" s="43">
        <f t="shared" si="9"/>
        <v>0</v>
      </c>
      <c r="Y24" s="43">
        <f t="shared" si="10"/>
        <v>117.6</v>
      </c>
      <c r="Z24" s="43">
        <f t="shared" si="11"/>
        <v>0</v>
      </c>
      <c r="AA24" s="43">
        <f t="shared" si="12"/>
        <v>0</v>
      </c>
      <c r="AB24" s="43">
        <f t="shared" si="13"/>
        <v>0</v>
      </c>
      <c r="AC24" s="43">
        <f t="shared" si="14"/>
        <v>811.43999999999994</v>
      </c>
      <c r="AD24" s="43">
        <f t="shared" si="15"/>
        <v>0</v>
      </c>
      <c r="AE24" s="43">
        <f t="shared" si="16"/>
        <v>0</v>
      </c>
      <c r="AF24" s="43">
        <f t="shared" si="17"/>
        <v>0</v>
      </c>
      <c r="AG24" s="43">
        <f t="shared" si="18"/>
        <v>1058.4000000000001</v>
      </c>
      <c r="AH24" s="43">
        <f t="shared" si="19"/>
        <v>0</v>
      </c>
      <c r="AI24" s="43">
        <f t="shared" si="20"/>
        <v>0</v>
      </c>
      <c r="AJ24" s="43">
        <f t="shared" si="21"/>
        <v>0</v>
      </c>
      <c r="AK24" s="43">
        <f t="shared" si="22"/>
        <v>7644</v>
      </c>
      <c r="AL24" s="43">
        <f t="shared" si="23"/>
        <v>0</v>
      </c>
      <c r="AM24" s="43">
        <f t="shared" si="24"/>
        <v>0</v>
      </c>
      <c r="AN24" s="43">
        <f t="shared" si="25"/>
        <v>0</v>
      </c>
      <c r="AO24" s="43">
        <f t="shared" si="26"/>
        <v>58.8</v>
      </c>
      <c r="AP24" s="43">
        <f t="shared" si="27"/>
        <v>0</v>
      </c>
      <c r="AQ24" s="43">
        <f t="shared" si="28"/>
        <v>0</v>
      </c>
      <c r="AR24" s="43">
        <f t="shared" si="29"/>
        <v>0</v>
      </c>
      <c r="AS24" s="43">
        <f t="shared" si="30"/>
        <v>35.28</v>
      </c>
      <c r="AT24" s="43">
        <f t="shared" si="31"/>
        <v>0</v>
      </c>
      <c r="AU24" s="43">
        <f t="shared" si="32"/>
        <v>0</v>
      </c>
      <c r="AV24" s="43">
        <f t="shared" si="33"/>
        <v>0</v>
      </c>
      <c r="AW24" s="45">
        <f t="shared" si="34"/>
        <v>21</v>
      </c>
      <c r="AX24" s="45">
        <f t="shared" si="35"/>
        <v>0</v>
      </c>
      <c r="AY24" s="45">
        <f t="shared" si="36"/>
        <v>0</v>
      </c>
      <c r="AZ24" s="45">
        <f t="shared" si="37"/>
        <v>0</v>
      </c>
      <c r="BA24" s="45">
        <f t="shared" si="38"/>
        <v>0</v>
      </c>
      <c r="BB24" s="45">
        <f t="shared" si="39"/>
        <v>0</v>
      </c>
      <c r="BC24" s="45">
        <f t="shared" si="40"/>
        <v>0</v>
      </c>
      <c r="BD24" s="45">
        <f t="shared" si="41"/>
        <v>0</v>
      </c>
      <c r="BE24" s="44">
        <f t="shared" si="42"/>
        <v>0</v>
      </c>
      <c r="BF24" s="44">
        <f t="shared" si="43"/>
        <v>0</v>
      </c>
      <c r="BG24" s="44">
        <f t="shared" si="44"/>
        <v>0</v>
      </c>
      <c r="BH24" s="44">
        <f t="shared" si="45"/>
        <v>0</v>
      </c>
    </row>
    <row r="25" spans="1:66" x14ac:dyDescent="0.25">
      <c r="A25" s="114" t="s">
        <v>32</v>
      </c>
      <c r="B25" s="105"/>
      <c r="C25" s="105"/>
      <c r="D25" s="105"/>
      <c r="E25" s="105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2"/>
        <v>0</v>
      </c>
      <c r="R25" s="43">
        <f t="shared" si="3"/>
        <v>0</v>
      </c>
      <c r="S25" s="43">
        <f t="shared" si="4"/>
        <v>0</v>
      </c>
      <c r="T25" s="43">
        <f t="shared" si="5"/>
        <v>0</v>
      </c>
      <c r="U25" s="43">
        <f t="shared" si="6"/>
        <v>0</v>
      </c>
      <c r="V25" s="43">
        <f t="shared" si="7"/>
        <v>0</v>
      </c>
      <c r="W25" s="43">
        <f t="shared" si="8"/>
        <v>0</v>
      </c>
      <c r="X25" s="43">
        <f t="shared" si="9"/>
        <v>0</v>
      </c>
      <c r="Y25" s="43">
        <f t="shared" si="10"/>
        <v>0</v>
      </c>
      <c r="Z25" s="43">
        <f t="shared" si="11"/>
        <v>0</v>
      </c>
      <c r="AA25" s="43">
        <f t="shared" si="12"/>
        <v>0</v>
      </c>
      <c r="AB25" s="43">
        <f t="shared" si="13"/>
        <v>0</v>
      </c>
      <c r="AC25" s="43">
        <f t="shared" si="14"/>
        <v>0</v>
      </c>
      <c r="AD25" s="43">
        <f t="shared" si="15"/>
        <v>0</v>
      </c>
      <c r="AE25" s="43">
        <f t="shared" si="16"/>
        <v>0</v>
      </c>
      <c r="AF25" s="43">
        <f t="shared" si="17"/>
        <v>0</v>
      </c>
      <c r="AG25" s="43">
        <f t="shared" si="18"/>
        <v>0</v>
      </c>
      <c r="AH25" s="43">
        <f t="shared" si="19"/>
        <v>0</v>
      </c>
      <c r="AI25" s="43">
        <f t="shared" si="20"/>
        <v>0</v>
      </c>
      <c r="AJ25" s="43">
        <f t="shared" si="21"/>
        <v>0</v>
      </c>
      <c r="AK25" s="43">
        <f t="shared" si="22"/>
        <v>0</v>
      </c>
      <c r="AL25" s="43">
        <f t="shared" si="23"/>
        <v>0</v>
      </c>
      <c r="AM25" s="43">
        <f t="shared" si="24"/>
        <v>0</v>
      </c>
      <c r="AN25" s="43">
        <f t="shared" si="25"/>
        <v>0</v>
      </c>
      <c r="AO25" s="43">
        <f t="shared" si="26"/>
        <v>0</v>
      </c>
      <c r="AP25" s="43">
        <f t="shared" si="27"/>
        <v>0</v>
      </c>
      <c r="AQ25" s="43">
        <f t="shared" si="28"/>
        <v>0</v>
      </c>
      <c r="AR25" s="43">
        <f t="shared" si="29"/>
        <v>0</v>
      </c>
      <c r="AS25" s="43">
        <f t="shared" si="30"/>
        <v>0</v>
      </c>
      <c r="AT25" s="43">
        <f t="shared" si="31"/>
        <v>0</v>
      </c>
      <c r="AU25" s="43">
        <f t="shared" si="32"/>
        <v>0</v>
      </c>
      <c r="AV25" s="43">
        <f t="shared" si="33"/>
        <v>0</v>
      </c>
      <c r="AW25" s="45">
        <f t="shared" si="34"/>
        <v>0</v>
      </c>
      <c r="AX25" s="45">
        <f t="shared" si="35"/>
        <v>0</v>
      </c>
      <c r="AY25" s="45">
        <f t="shared" si="36"/>
        <v>0</v>
      </c>
      <c r="AZ25" s="45">
        <f t="shared" si="37"/>
        <v>0</v>
      </c>
      <c r="BA25" s="45">
        <f t="shared" si="38"/>
        <v>0</v>
      </c>
      <c r="BB25" s="45">
        <f t="shared" si="39"/>
        <v>0</v>
      </c>
      <c r="BC25" s="45">
        <f t="shared" si="40"/>
        <v>0</v>
      </c>
      <c r="BD25" s="45">
        <f t="shared" si="41"/>
        <v>0</v>
      </c>
      <c r="BE25" s="44">
        <f t="shared" si="42"/>
        <v>0</v>
      </c>
      <c r="BF25" s="44">
        <f t="shared" si="43"/>
        <v>0</v>
      </c>
      <c r="BG25" s="44">
        <f t="shared" si="44"/>
        <v>0</v>
      </c>
      <c r="BH25" s="44">
        <f t="shared" si="45"/>
        <v>0</v>
      </c>
      <c r="BI25" s="4"/>
      <c r="BJ25" s="4"/>
      <c r="BK25" s="4"/>
      <c r="BL25" s="4"/>
    </row>
    <row r="26" spans="1:66" x14ac:dyDescent="0.25">
      <c r="A26" s="114" t="s">
        <v>31</v>
      </c>
      <c r="B26" s="105">
        <v>28</v>
      </c>
      <c r="C26" s="105">
        <v>24</v>
      </c>
      <c r="D26" s="105">
        <v>32</v>
      </c>
      <c r="E26" s="105">
        <v>33</v>
      </c>
      <c r="F26" s="33">
        <v>0.83</v>
      </c>
      <c r="G26" s="6">
        <v>0</v>
      </c>
      <c r="H26" s="7">
        <v>12.8</v>
      </c>
      <c r="I26" s="8">
        <v>84</v>
      </c>
      <c r="J26" s="8">
        <v>136</v>
      </c>
      <c r="K26" s="8">
        <v>260</v>
      </c>
      <c r="L26" s="7">
        <v>0.8</v>
      </c>
      <c r="M26" s="7">
        <v>3.9</v>
      </c>
      <c r="N26" s="49">
        <v>100</v>
      </c>
      <c r="O26" s="80">
        <v>0</v>
      </c>
      <c r="P26" s="80">
        <v>0</v>
      </c>
      <c r="Q26" s="43">
        <f t="shared" si="2"/>
        <v>23.24</v>
      </c>
      <c r="R26" s="43">
        <f t="shared" si="3"/>
        <v>19.919999999999998</v>
      </c>
      <c r="S26" s="43">
        <f t="shared" si="4"/>
        <v>26.56</v>
      </c>
      <c r="T26" s="43">
        <f t="shared" si="5"/>
        <v>27.389999999999997</v>
      </c>
      <c r="U26" s="43">
        <f t="shared" si="6"/>
        <v>0</v>
      </c>
      <c r="V26" s="43">
        <f t="shared" si="7"/>
        <v>0</v>
      </c>
      <c r="W26" s="43">
        <f t="shared" si="8"/>
        <v>0</v>
      </c>
      <c r="X26" s="43">
        <f t="shared" si="9"/>
        <v>0</v>
      </c>
      <c r="Y26" s="43">
        <f t="shared" si="10"/>
        <v>297.47199999999998</v>
      </c>
      <c r="Z26" s="43">
        <f t="shared" si="11"/>
        <v>254.976</v>
      </c>
      <c r="AA26" s="43">
        <f t="shared" si="12"/>
        <v>339.96800000000002</v>
      </c>
      <c r="AB26" s="43">
        <f t="shared" si="13"/>
        <v>350.59199999999998</v>
      </c>
      <c r="AC26" s="43">
        <f t="shared" si="14"/>
        <v>1952.1599999999999</v>
      </c>
      <c r="AD26" s="43">
        <f t="shared" si="15"/>
        <v>1673.2799999999997</v>
      </c>
      <c r="AE26" s="43">
        <f t="shared" si="16"/>
        <v>2231.04</v>
      </c>
      <c r="AF26" s="43">
        <f t="shared" si="17"/>
        <v>2300.7599999999998</v>
      </c>
      <c r="AG26" s="43">
        <f t="shared" si="18"/>
        <v>3160.64</v>
      </c>
      <c r="AH26" s="43">
        <f t="shared" si="19"/>
        <v>2709.12</v>
      </c>
      <c r="AI26" s="43">
        <f t="shared" si="20"/>
        <v>3612.16</v>
      </c>
      <c r="AJ26" s="43">
        <f t="shared" si="21"/>
        <v>3725.0399999999995</v>
      </c>
      <c r="AK26" s="43">
        <f t="shared" si="22"/>
        <v>6042.4</v>
      </c>
      <c r="AL26" s="43">
        <f t="shared" si="23"/>
        <v>5179.2</v>
      </c>
      <c r="AM26" s="43">
        <f t="shared" si="24"/>
        <v>6905.5999999999995</v>
      </c>
      <c r="AN26" s="43">
        <f t="shared" si="25"/>
        <v>7121.4</v>
      </c>
      <c r="AO26" s="43">
        <f t="shared" si="26"/>
        <v>18.591999999999999</v>
      </c>
      <c r="AP26" s="43">
        <f t="shared" si="27"/>
        <v>15.936</v>
      </c>
      <c r="AQ26" s="43">
        <f t="shared" si="28"/>
        <v>21.248000000000001</v>
      </c>
      <c r="AR26" s="43">
        <f t="shared" si="29"/>
        <v>21.911999999999999</v>
      </c>
      <c r="AS26" s="43">
        <f t="shared" si="30"/>
        <v>90.635999999999996</v>
      </c>
      <c r="AT26" s="43">
        <f t="shared" si="31"/>
        <v>77.687999999999988</v>
      </c>
      <c r="AU26" s="43">
        <f t="shared" si="32"/>
        <v>103.58399999999999</v>
      </c>
      <c r="AV26" s="43">
        <f t="shared" si="33"/>
        <v>106.82099999999998</v>
      </c>
      <c r="AW26" s="45">
        <f t="shared" si="34"/>
        <v>28</v>
      </c>
      <c r="AX26" s="45">
        <f t="shared" si="35"/>
        <v>24</v>
      </c>
      <c r="AY26" s="45">
        <f t="shared" si="36"/>
        <v>32</v>
      </c>
      <c r="AZ26" s="45">
        <f t="shared" si="37"/>
        <v>33</v>
      </c>
      <c r="BA26" s="45">
        <f t="shared" si="38"/>
        <v>0</v>
      </c>
      <c r="BB26" s="45">
        <f t="shared" si="39"/>
        <v>0</v>
      </c>
      <c r="BC26" s="45">
        <f t="shared" si="40"/>
        <v>0</v>
      </c>
      <c r="BD26" s="45">
        <f t="shared" si="41"/>
        <v>0</v>
      </c>
      <c r="BE26" s="44">
        <f t="shared" si="42"/>
        <v>0</v>
      </c>
      <c r="BF26" s="44">
        <f t="shared" si="43"/>
        <v>0</v>
      </c>
      <c r="BG26" s="44">
        <f t="shared" si="44"/>
        <v>0</v>
      </c>
      <c r="BH26" s="44">
        <f t="shared" si="45"/>
        <v>0</v>
      </c>
      <c r="BI26" s="4"/>
      <c r="BJ26" s="4"/>
      <c r="BK26" s="4"/>
      <c r="BL26" s="4"/>
      <c r="BM26" s="4"/>
      <c r="BN26" s="4"/>
    </row>
    <row r="27" spans="1:66" x14ac:dyDescent="0.25">
      <c r="A27" s="114" t="s">
        <v>90</v>
      </c>
      <c r="B27" s="105">
        <v>7</v>
      </c>
      <c r="C27" s="105">
        <v>5</v>
      </c>
      <c r="D27" s="105"/>
      <c r="E27" s="105"/>
      <c r="F27" s="33">
        <v>0.89</v>
      </c>
      <c r="G27" s="6">
        <v>0</v>
      </c>
      <c r="H27" s="7">
        <v>14</v>
      </c>
      <c r="I27" s="8">
        <v>157</v>
      </c>
      <c r="J27" s="8">
        <v>287</v>
      </c>
      <c r="K27" s="8">
        <v>281</v>
      </c>
      <c r="L27" s="7">
        <v>11.2</v>
      </c>
      <c r="M27" s="7">
        <v>5.6</v>
      </c>
      <c r="N27" s="49">
        <v>231</v>
      </c>
      <c r="O27" s="80">
        <v>1</v>
      </c>
      <c r="P27" s="80">
        <v>0</v>
      </c>
      <c r="Q27" s="43">
        <f t="shared" si="2"/>
        <v>6.23</v>
      </c>
      <c r="R27" s="43">
        <f t="shared" si="3"/>
        <v>4.45</v>
      </c>
      <c r="S27" s="43">
        <f t="shared" si="4"/>
        <v>0</v>
      </c>
      <c r="T27" s="43">
        <f t="shared" si="5"/>
        <v>0</v>
      </c>
      <c r="U27" s="43">
        <f t="shared" si="6"/>
        <v>0</v>
      </c>
      <c r="V27" s="43">
        <f t="shared" si="7"/>
        <v>0</v>
      </c>
      <c r="W27" s="43">
        <f t="shared" si="8"/>
        <v>0</v>
      </c>
      <c r="X27" s="43">
        <f t="shared" si="9"/>
        <v>0</v>
      </c>
      <c r="Y27" s="43">
        <f t="shared" si="10"/>
        <v>87.22</v>
      </c>
      <c r="Z27" s="43">
        <f t="shared" si="11"/>
        <v>62.300000000000004</v>
      </c>
      <c r="AA27" s="43">
        <f t="shared" si="12"/>
        <v>0</v>
      </c>
      <c r="AB27" s="43">
        <f t="shared" si="13"/>
        <v>0</v>
      </c>
      <c r="AC27" s="43">
        <f t="shared" si="14"/>
        <v>978.11</v>
      </c>
      <c r="AD27" s="43">
        <f t="shared" si="15"/>
        <v>698.65</v>
      </c>
      <c r="AE27" s="43">
        <f t="shared" si="16"/>
        <v>0</v>
      </c>
      <c r="AF27" s="43">
        <f t="shared" si="17"/>
        <v>0</v>
      </c>
      <c r="AG27" s="43">
        <f t="shared" si="18"/>
        <v>1788.0100000000002</v>
      </c>
      <c r="AH27" s="43">
        <f t="shared" si="19"/>
        <v>1277.1500000000001</v>
      </c>
      <c r="AI27" s="43">
        <f t="shared" si="20"/>
        <v>0</v>
      </c>
      <c r="AJ27" s="43">
        <f t="shared" si="21"/>
        <v>0</v>
      </c>
      <c r="AK27" s="43">
        <f t="shared" si="22"/>
        <v>1750.63</v>
      </c>
      <c r="AL27" s="43">
        <f t="shared" si="23"/>
        <v>1250.45</v>
      </c>
      <c r="AM27" s="43">
        <f t="shared" si="24"/>
        <v>0</v>
      </c>
      <c r="AN27" s="43">
        <f t="shared" si="25"/>
        <v>0</v>
      </c>
      <c r="AO27" s="43">
        <f t="shared" si="26"/>
        <v>69.775999999999996</v>
      </c>
      <c r="AP27" s="43">
        <f t="shared" si="27"/>
        <v>49.839999999999996</v>
      </c>
      <c r="AQ27" s="43">
        <f t="shared" si="28"/>
        <v>0</v>
      </c>
      <c r="AR27" s="43">
        <f t="shared" si="29"/>
        <v>0</v>
      </c>
      <c r="AS27" s="43">
        <f t="shared" si="30"/>
        <v>34.887999999999998</v>
      </c>
      <c r="AT27" s="43">
        <f t="shared" si="31"/>
        <v>24.919999999999998</v>
      </c>
      <c r="AU27" s="43">
        <f t="shared" si="32"/>
        <v>0</v>
      </c>
      <c r="AV27" s="43">
        <f t="shared" si="33"/>
        <v>0</v>
      </c>
      <c r="AW27" s="45">
        <f t="shared" si="34"/>
        <v>16.170000000000002</v>
      </c>
      <c r="AX27" s="45">
        <f t="shared" si="35"/>
        <v>11.55</v>
      </c>
      <c r="AY27" s="45">
        <f t="shared" si="36"/>
        <v>0</v>
      </c>
      <c r="AZ27" s="45">
        <f t="shared" si="37"/>
        <v>0</v>
      </c>
      <c r="BA27" s="45">
        <f t="shared" si="38"/>
        <v>1788.0100000000002</v>
      </c>
      <c r="BB27" s="45">
        <f t="shared" si="39"/>
        <v>1277.1500000000001</v>
      </c>
      <c r="BC27" s="45">
        <f t="shared" si="40"/>
        <v>0</v>
      </c>
      <c r="BD27" s="45">
        <f t="shared" si="41"/>
        <v>0</v>
      </c>
      <c r="BE27" s="44">
        <f t="shared" si="42"/>
        <v>0</v>
      </c>
      <c r="BF27" s="44">
        <f t="shared" si="43"/>
        <v>0</v>
      </c>
      <c r="BG27" s="44">
        <f t="shared" si="44"/>
        <v>0</v>
      </c>
      <c r="BH27" s="44">
        <f t="shared" si="45"/>
        <v>0</v>
      </c>
      <c r="BI27" s="4"/>
      <c r="BJ27" s="4"/>
      <c r="BK27" s="4"/>
      <c r="BL27" s="4"/>
      <c r="BM27" s="4"/>
      <c r="BN27" s="4"/>
    </row>
    <row r="28" spans="1:66" x14ac:dyDescent="0.25">
      <c r="A28" s="114" t="s">
        <v>93</v>
      </c>
      <c r="B28" s="105"/>
      <c r="C28" s="105"/>
      <c r="D28" s="105"/>
      <c r="E28" s="105"/>
      <c r="F28" s="34">
        <v>0.88</v>
      </c>
      <c r="G28" s="6">
        <v>0</v>
      </c>
      <c r="H28" s="7">
        <v>13.6</v>
      </c>
      <c r="I28" s="8">
        <v>142</v>
      </c>
      <c r="J28" s="8">
        <v>207</v>
      </c>
      <c r="K28" s="8">
        <v>193</v>
      </c>
      <c r="L28" s="7">
        <v>8</v>
      </c>
      <c r="M28" s="7">
        <v>4.5</v>
      </c>
      <c r="N28" s="49">
        <v>229</v>
      </c>
      <c r="O28" s="80">
        <v>1</v>
      </c>
      <c r="P28" s="80">
        <v>0</v>
      </c>
      <c r="Q28" s="43">
        <f t="shared" si="2"/>
        <v>0</v>
      </c>
      <c r="R28" s="43">
        <f t="shared" si="3"/>
        <v>0</v>
      </c>
      <c r="S28" s="43">
        <f t="shared" si="4"/>
        <v>0</v>
      </c>
      <c r="T28" s="43">
        <f t="shared" si="5"/>
        <v>0</v>
      </c>
      <c r="U28" s="43">
        <f t="shared" si="6"/>
        <v>0</v>
      </c>
      <c r="V28" s="43">
        <f t="shared" si="7"/>
        <v>0</v>
      </c>
      <c r="W28" s="43">
        <f t="shared" si="8"/>
        <v>0</v>
      </c>
      <c r="X28" s="43">
        <f t="shared" si="9"/>
        <v>0</v>
      </c>
      <c r="Y28" s="43">
        <f t="shared" si="10"/>
        <v>0</v>
      </c>
      <c r="Z28" s="43">
        <f t="shared" si="11"/>
        <v>0</v>
      </c>
      <c r="AA28" s="43">
        <f t="shared" si="12"/>
        <v>0</v>
      </c>
      <c r="AB28" s="43">
        <f t="shared" si="13"/>
        <v>0</v>
      </c>
      <c r="AC28" s="43">
        <f t="shared" si="14"/>
        <v>0</v>
      </c>
      <c r="AD28" s="43">
        <f t="shared" si="15"/>
        <v>0</v>
      </c>
      <c r="AE28" s="43">
        <f t="shared" si="16"/>
        <v>0</v>
      </c>
      <c r="AF28" s="43">
        <f t="shared" si="17"/>
        <v>0</v>
      </c>
      <c r="AG28" s="43">
        <f t="shared" si="18"/>
        <v>0</v>
      </c>
      <c r="AH28" s="43">
        <f t="shared" si="19"/>
        <v>0</v>
      </c>
      <c r="AI28" s="43">
        <f t="shared" si="20"/>
        <v>0</v>
      </c>
      <c r="AJ28" s="43">
        <f t="shared" si="21"/>
        <v>0</v>
      </c>
      <c r="AK28" s="43">
        <f t="shared" si="22"/>
        <v>0</v>
      </c>
      <c r="AL28" s="43">
        <f t="shared" si="23"/>
        <v>0</v>
      </c>
      <c r="AM28" s="43">
        <f t="shared" si="24"/>
        <v>0</v>
      </c>
      <c r="AN28" s="43">
        <f t="shared" si="25"/>
        <v>0</v>
      </c>
      <c r="AO28" s="43">
        <f t="shared" si="26"/>
        <v>0</v>
      </c>
      <c r="AP28" s="43">
        <f t="shared" si="27"/>
        <v>0</v>
      </c>
      <c r="AQ28" s="43">
        <f t="shared" si="28"/>
        <v>0</v>
      </c>
      <c r="AR28" s="43">
        <f t="shared" si="29"/>
        <v>0</v>
      </c>
      <c r="AS28" s="43">
        <f t="shared" si="30"/>
        <v>0</v>
      </c>
      <c r="AT28" s="43">
        <f t="shared" si="31"/>
        <v>0</v>
      </c>
      <c r="AU28" s="43">
        <f t="shared" si="32"/>
        <v>0</v>
      </c>
      <c r="AV28" s="43">
        <f t="shared" si="33"/>
        <v>0</v>
      </c>
      <c r="AW28" s="45">
        <f t="shared" si="34"/>
        <v>0</v>
      </c>
      <c r="AX28" s="45">
        <f t="shared" si="35"/>
        <v>0</v>
      </c>
      <c r="AY28" s="45">
        <f t="shared" si="36"/>
        <v>0</v>
      </c>
      <c r="AZ28" s="45">
        <f t="shared" si="37"/>
        <v>0</v>
      </c>
      <c r="BA28" s="45">
        <f t="shared" si="38"/>
        <v>0</v>
      </c>
      <c r="BB28" s="45">
        <f t="shared" si="39"/>
        <v>0</v>
      </c>
      <c r="BC28" s="45">
        <f t="shared" si="40"/>
        <v>0</v>
      </c>
      <c r="BD28" s="45">
        <f t="shared" si="41"/>
        <v>0</v>
      </c>
      <c r="BE28" s="44">
        <f t="shared" si="42"/>
        <v>0</v>
      </c>
      <c r="BF28" s="44">
        <f t="shared" si="43"/>
        <v>0</v>
      </c>
      <c r="BG28" s="44">
        <f t="shared" si="44"/>
        <v>0</v>
      </c>
      <c r="BH28" s="44">
        <f t="shared" si="45"/>
        <v>0</v>
      </c>
      <c r="BI28" s="4"/>
      <c r="BJ28" s="4"/>
      <c r="BK28" s="4"/>
      <c r="BL28" s="4"/>
    </row>
    <row r="29" spans="1:66" x14ac:dyDescent="0.25">
      <c r="A29" s="114" t="s">
        <v>93</v>
      </c>
      <c r="B29" s="105"/>
      <c r="C29" s="105"/>
      <c r="D29" s="105"/>
      <c r="E29" s="105"/>
      <c r="F29" s="34"/>
      <c r="G29" s="6"/>
      <c r="H29" s="7"/>
      <c r="I29" s="8"/>
      <c r="J29" s="8"/>
      <c r="K29" s="8"/>
      <c r="L29" s="7"/>
      <c r="M29" s="7"/>
      <c r="N29" s="49"/>
      <c r="O29" s="80"/>
      <c r="P29" s="80"/>
      <c r="Q29" s="43">
        <f t="shared" si="2"/>
        <v>0</v>
      </c>
      <c r="R29" s="43">
        <f t="shared" si="3"/>
        <v>0</v>
      </c>
      <c r="S29" s="43">
        <f t="shared" si="4"/>
        <v>0</v>
      </c>
      <c r="T29" s="43">
        <f t="shared" si="5"/>
        <v>0</v>
      </c>
      <c r="U29" s="43">
        <f t="shared" si="6"/>
        <v>0</v>
      </c>
      <c r="V29" s="43">
        <f t="shared" si="7"/>
        <v>0</v>
      </c>
      <c r="W29" s="43">
        <f t="shared" si="8"/>
        <v>0</v>
      </c>
      <c r="X29" s="43">
        <f t="shared" si="9"/>
        <v>0</v>
      </c>
      <c r="Y29" s="43">
        <f t="shared" si="10"/>
        <v>0</v>
      </c>
      <c r="Z29" s="43">
        <f t="shared" si="11"/>
        <v>0</v>
      </c>
      <c r="AA29" s="43">
        <f t="shared" si="12"/>
        <v>0</v>
      </c>
      <c r="AB29" s="43">
        <f t="shared" si="13"/>
        <v>0</v>
      </c>
      <c r="AC29" s="43">
        <f t="shared" si="14"/>
        <v>0</v>
      </c>
      <c r="AD29" s="43">
        <f t="shared" si="15"/>
        <v>0</v>
      </c>
      <c r="AE29" s="43">
        <f t="shared" si="16"/>
        <v>0</v>
      </c>
      <c r="AF29" s="43">
        <f t="shared" si="17"/>
        <v>0</v>
      </c>
      <c r="AG29" s="43">
        <f t="shared" si="18"/>
        <v>0</v>
      </c>
      <c r="AH29" s="43">
        <f t="shared" si="19"/>
        <v>0</v>
      </c>
      <c r="AI29" s="43">
        <f t="shared" si="20"/>
        <v>0</v>
      </c>
      <c r="AJ29" s="43">
        <f t="shared" si="21"/>
        <v>0</v>
      </c>
      <c r="AK29" s="43">
        <f t="shared" si="22"/>
        <v>0</v>
      </c>
      <c r="AL29" s="43">
        <f t="shared" si="23"/>
        <v>0</v>
      </c>
      <c r="AM29" s="43">
        <f t="shared" si="24"/>
        <v>0</v>
      </c>
      <c r="AN29" s="43">
        <f t="shared" si="25"/>
        <v>0</v>
      </c>
      <c r="AO29" s="43">
        <f t="shared" si="26"/>
        <v>0</v>
      </c>
      <c r="AP29" s="43">
        <f t="shared" si="27"/>
        <v>0</v>
      </c>
      <c r="AQ29" s="43">
        <f t="shared" si="28"/>
        <v>0</v>
      </c>
      <c r="AR29" s="43">
        <f t="shared" si="29"/>
        <v>0</v>
      </c>
      <c r="AS29" s="43">
        <f t="shared" si="30"/>
        <v>0</v>
      </c>
      <c r="AT29" s="43">
        <f t="shared" si="31"/>
        <v>0</v>
      </c>
      <c r="AU29" s="43">
        <f t="shared" si="32"/>
        <v>0</v>
      </c>
      <c r="AV29" s="43">
        <f t="shared" si="33"/>
        <v>0</v>
      </c>
      <c r="AW29" s="45">
        <f t="shared" si="34"/>
        <v>0</v>
      </c>
      <c r="AX29" s="45">
        <f t="shared" si="35"/>
        <v>0</v>
      </c>
      <c r="AY29" s="45">
        <f t="shared" si="36"/>
        <v>0</v>
      </c>
      <c r="AZ29" s="45">
        <f t="shared" si="37"/>
        <v>0</v>
      </c>
      <c r="BA29" s="45">
        <f t="shared" si="38"/>
        <v>0</v>
      </c>
      <c r="BB29" s="45">
        <f t="shared" si="39"/>
        <v>0</v>
      </c>
      <c r="BC29" s="45">
        <f t="shared" si="40"/>
        <v>0</v>
      </c>
      <c r="BD29" s="45">
        <f t="shared" si="41"/>
        <v>0</v>
      </c>
      <c r="BE29" s="44">
        <f t="shared" si="42"/>
        <v>0</v>
      </c>
      <c r="BF29" s="44">
        <f t="shared" si="43"/>
        <v>0</v>
      </c>
      <c r="BG29" s="44">
        <f t="shared" si="44"/>
        <v>0</v>
      </c>
      <c r="BH29" s="44">
        <f t="shared" si="45"/>
        <v>0</v>
      </c>
      <c r="BI29" s="4"/>
      <c r="BJ29" s="4"/>
      <c r="BK29" s="4"/>
      <c r="BL29" s="4"/>
    </row>
    <row r="30" spans="1:66" x14ac:dyDescent="0.25">
      <c r="A30" s="114" t="s">
        <v>93</v>
      </c>
      <c r="B30" s="105"/>
      <c r="C30" s="105"/>
      <c r="D30" s="105"/>
      <c r="E30" s="105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2"/>
        <v>0</v>
      </c>
      <c r="R30" s="43">
        <f t="shared" si="3"/>
        <v>0</v>
      </c>
      <c r="S30" s="43">
        <f t="shared" si="4"/>
        <v>0</v>
      </c>
      <c r="T30" s="43">
        <f t="shared" si="5"/>
        <v>0</v>
      </c>
      <c r="U30" s="43">
        <f t="shared" si="6"/>
        <v>0</v>
      </c>
      <c r="V30" s="43">
        <f t="shared" si="7"/>
        <v>0</v>
      </c>
      <c r="W30" s="43">
        <f t="shared" si="8"/>
        <v>0</v>
      </c>
      <c r="X30" s="43">
        <f t="shared" si="9"/>
        <v>0</v>
      </c>
      <c r="Y30" s="43">
        <f t="shared" si="10"/>
        <v>0</v>
      </c>
      <c r="Z30" s="43">
        <f t="shared" si="11"/>
        <v>0</v>
      </c>
      <c r="AA30" s="43">
        <f t="shared" si="12"/>
        <v>0</v>
      </c>
      <c r="AB30" s="43">
        <f t="shared" si="13"/>
        <v>0</v>
      </c>
      <c r="AC30" s="43">
        <f t="shared" si="14"/>
        <v>0</v>
      </c>
      <c r="AD30" s="43">
        <f t="shared" si="15"/>
        <v>0</v>
      </c>
      <c r="AE30" s="43">
        <f t="shared" si="16"/>
        <v>0</v>
      </c>
      <c r="AF30" s="43">
        <f t="shared" si="17"/>
        <v>0</v>
      </c>
      <c r="AG30" s="43">
        <f t="shared" si="18"/>
        <v>0</v>
      </c>
      <c r="AH30" s="43">
        <f t="shared" si="19"/>
        <v>0</v>
      </c>
      <c r="AI30" s="43">
        <f t="shared" si="20"/>
        <v>0</v>
      </c>
      <c r="AJ30" s="43">
        <f t="shared" si="21"/>
        <v>0</v>
      </c>
      <c r="AK30" s="43">
        <f t="shared" si="22"/>
        <v>0</v>
      </c>
      <c r="AL30" s="43">
        <f t="shared" si="23"/>
        <v>0</v>
      </c>
      <c r="AM30" s="43">
        <f t="shared" si="24"/>
        <v>0</v>
      </c>
      <c r="AN30" s="43">
        <f t="shared" si="25"/>
        <v>0</v>
      </c>
      <c r="AO30" s="43">
        <f t="shared" si="26"/>
        <v>0</v>
      </c>
      <c r="AP30" s="43">
        <f t="shared" si="27"/>
        <v>0</v>
      </c>
      <c r="AQ30" s="43">
        <f t="shared" si="28"/>
        <v>0</v>
      </c>
      <c r="AR30" s="43">
        <f t="shared" si="29"/>
        <v>0</v>
      </c>
      <c r="AS30" s="43">
        <f t="shared" si="30"/>
        <v>0</v>
      </c>
      <c r="AT30" s="43">
        <f t="shared" si="31"/>
        <v>0</v>
      </c>
      <c r="AU30" s="43">
        <f t="shared" si="32"/>
        <v>0</v>
      </c>
      <c r="AV30" s="43">
        <f t="shared" si="33"/>
        <v>0</v>
      </c>
      <c r="AW30" s="45">
        <f t="shared" si="34"/>
        <v>0</v>
      </c>
      <c r="AX30" s="45">
        <f t="shared" si="35"/>
        <v>0</v>
      </c>
      <c r="AY30" s="45">
        <f t="shared" si="36"/>
        <v>0</v>
      </c>
      <c r="AZ30" s="45">
        <f t="shared" si="37"/>
        <v>0</v>
      </c>
      <c r="BA30" s="45">
        <f t="shared" si="38"/>
        <v>0</v>
      </c>
      <c r="BB30" s="45">
        <f t="shared" si="39"/>
        <v>0</v>
      </c>
      <c r="BC30" s="45">
        <f t="shared" si="40"/>
        <v>0</v>
      </c>
      <c r="BD30" s="45">
        <f t="shared" si="41"/>
        <v>0</v>
      </c>
      <c r="BE30" s="44">
        <f t="shared" si="42"/>
        <v>0</v>
      </c>
      <c r="BF30" s="44">
        <f t="shared" si="43"/>
        <v>0</v>
      </c>
      <c r="BG30" s="44">
        <f t="shared" si="44"/>
        <v>0</v>
      </c>
      <c r="BH30" s="44">
        <f t="shared" si="45"/>
        <v>0</v>
      </c>
    </row>
    <row r="31" spans="1:66" x14ac:dyDescent="0.25">
      <c r="A31" s="114" t="s">
        <v>54</v>
      </c>
      <c r="B31" s="105">
        <v>1</v>
      </c>
      <c r="C31" s="105">
        <v>1</v>
      </c>
      <c r="D31" s="105">
        <v>1</v>
      </c>
      <c r="E31" s="105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2"/>
        <v>0.98</v>
      </c>
      <c r="R31" s="43">
        <f t="shared" si="3"/>
        <v>0.98</v>
      </c>
      <c r="S31" s="43">
        <f t="shared" si="4"/>
        <v>0.98</v>
      </c>
      <c r="T31" s="43">
        <f t="shared" si="5"/>
        <v>0.98</v>
      </c>
      <c r="U31" s="43">
        <f t="shared" si="6"/>
        <v>0</v>
      </c>
      <c r="V31" s="43">
        <f t="shared" si="7"/>
        <v>0</v>
      </c>
      <c r="W31" s="43">
        <f t="shared" si="8"/>
        <v>0</v>
      </c>
      <c r="X31" s="43">
        <f t="shared" si="9"/>
        <v>0</v>
      </c>
      <c r="Y31" s="43">
        <f t="shared" si="10"/>
        <v>0</v>
      </c>
      <c r="Z31" s="43">
        <f t="shared" si="11"/>
        <v>0</v>
      </c>
      <c r="AA31" s="43">
        <f t="shared" si="12"/>
        <v>0</v>
      </c>
      <c r="AB31" s="43">
        <f t="shared" si="13"/>
        <v>0</v>
      </c>
      <c r="AC31" s="43">
        <f t="shared" si="14"/>
        <v>0</v>
      </c>
      <c r="AD31" s="43">
        <f t="shared" si="15"/>
        <v>0</v>
      </c>
      <c r="AE31" s="43">
        <f t="shared" si="16"/>
        <v>0</v>
      </c>
      <c r="AF31" s="43">
        <f t="shared" si="17"/>
        <v>0</v>
      </c>
      <c r="AG31" s="43">
        <f t="shared" si="18"/>
        <v>0</v>
      </c>
      <c r="AH31" s="43">
        <f t="shared" si="19"/>
        <v>0</v>
      </c>
      <c r="AI31" s="43">
        <f t="shared" si="20"/>
        <v>0</v>
      </c>
      <c r="AJ31" s="43">
        <f t="shared" si="21"/>
        <v>0</v>
      </c>
      <c r="AK31" s="43">
        <f t="shared" si="22"/>
        <v>0</v>
      </c>
      <c r="AL31" s="43">
        <f t="shared" si="23"/>
        <v>0</v>
      </c>
      <c r="AM31" s="43">
        <f t="shared" si="24"/>
        <v>0</v>
      </c>
      <c r="AN31" s="43">
        <f t="shared" si="25"/>
        <v>0</v>
      </c>
      <c r="AO31" s="43">
        <f t="shared" si="26"/>
        <v>146.02000000000001</v>
      </c>
      <c r="AP31" s="43">
        <f t="shared" si="27"/>
        <v>146.02000000000001</v>
      </c>
      <c r="AQ31" s="43">
        <f t="shared" si="28"/>
        <v>146.02000000000001</v>
      </c>
      <c r="AR31" s="43">
        <f t="shared" si="29"/>
        <v>146.02000000000001</v>
      </c>
      <c r="AS31" s="43">
        <f t="shared" si="30"/>
        <v>64.97399999999999</v>
      </c>
      <c r="AT31" s="43">
        <f t="shared" si="31"/>
        <v>64.97399999999999</v>
      </c>
      <c r="AU31" s="43">
        <f t="shared" si="32"/>
        <v>64.97399999999999</v>
      </c>
      <c r="AV31" s="43">
        <f t="shared" si="33"/>
        <v>64.97399999999999</v>
      </c>
      <c r="AW31" s="45">
        <f t="shared" si="34"/>
        <v>6.5</v>
      </c>
      <c r="AX31" s="45">
        <f t="shared" si="35"/>
        <v>6.5</v>
      </c>
      <c r="AY31" s="45">
        <f t="shared" si="36"/>
        <v>6.5</v>
      </c>
      <c r="AZ31" s="45">
        <f t="shared" si="37"/>
        <v>6.5</v>
      </c>
      <c r="BA31" s="45">
        <f t="shared" si="38"/>
        <v>0</v>
      </c>
      <c r="BB31" s="45">
        <f t="shared" si="39"/>
        <v>0</v>
      </c>
      <c r="BC31" s="45">
        <f t="shared" si="40"/>
        <v>0</v>
      </c>
      <c r="BD31" s="45">
        <f t="shared" si="41"/>
        <v>0</v>
      </c>
      <c r="BE31" s="44">
        <f t="shared" si="42"/>
        <v>0</v>
      </c>
      <c r="BF31" s="44">
        <f t="shared" si="43"/>
        <v>0</v>
      </c>
      <c r="BG31" s="44">
        <f t="shared" si="44"/>
        <v>0</v>
      </c>
      <c r="BH31" s="44">
        <f t="shared" si="45"/>
        <v>0</v>
      </c>
      <c r="BI31" s="4"/>
      <c r="BJ31" s="4"/>
      <c r="BK31" s="4"/>
      <c r="BL31" s="4"/>
    </row>
    <row r="32" spans="1:66" x14ac:dyDescent="0.25">
      <c r="A32" s="114" t="s">
        <v>93</v>
      </c>
      <c r="B32" s="105"/>
      <c r="C32" s="105"/>
      <c r="D32" s="105"/>
      <c r="E32" s="105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2"/>
        <v>0</v>
      </c>
      <c r="R32" s="43">
        <f t="shared" si="3"/>
        <v>0</v>
      </c>
      <c r="S32" s="43">
        <f t="shared" si="4"/>
        <v>0</v>
      </c>
      <c r="T32" s="43">
        <f t="shared" si="5"/>
        <v>0</v>
      </c>
      <c r="U32" s="43">
        <f t="shared" si="6"/>
        <v>0</v>
      </c>
      <c r="V32" s="43">
        <f t="shared" si="7"/>
        <v>0</v>
      </c>
      <c r="W32" s="43">
        <f t="shared" si="8"/>
        <v>0</v>
      </c>
      <c r="X32" s="43">
        <f t="shared" si="9"/>
        <v>0</v>
      </c>
      <c r="Y32" s="43">
        <f t="shared" si="10"/>
        <v>0</v>
      </c>
      <c r="Z32" s="43">
        <f t="shared" si="11"/>
        <v>0</v>
      </c>
      <c r="AA32" s="43">
        <f t="shared" si="12"/>
        <v>0</v>
      </c>
      <c r="AB32" s="43">
        <f t="shared" si="13"/>
        <v>0</v>
      </c>
      <c r="AC32" s="43">
        <f t="shared" si="14"/>
        <v>0</v>
      </c>
      <c r="AD32" s="43">
        <f t="shared" si="15"/>
        <v>0</v>
      </c>
      <c r="AE32" s="43">
        <f t="shared" si="16"/>
        <v>0</v>
      </c>
      <c r="AF32" s="43">
        <f t="shared" si="17"/>
        <v>0</v>
      </c>
      <c r="AG32" s="43">
        <f t="shared" si="18"/>
        <v>0</v>
      </c>
      <c r="AH32" s="43">
        <f t="shared" si="19"/>
        <v>0</v>
      </c>
      <c r="AI32" s="43">
        <f t="shared" si="20"/>
        <v>0</v>
      </c>
      <c r="AJ32" s="43">
        <f t="shared" si="21"/>
        <v>0</v>
      </c>
      <c r="AK32" s="43">
        <f t="shared" si="22"/>
        <v>0</v>
      </c>
      <c r="AL32" s="43">
        <f t="shared" si="23"/>
        <v>0</v>
      </c>
      <c r="AM32" s="43">
        <f t="shared" si="24"/>
        <v>0</v>
      </c>
      <c r="AN32" s="43">
        <f t="shared" si="25"/>
        <v>0</v>
      </c>
      <c r="AO32" s="43">
        <f t="shared" si="26"/>
        <v>0</v>
      </c>
      <c r="AP32" s="43">
        <f t="shared" si="27"/>
        <v>0</v>
      </c>
      <c r="AQ32" s="43">
        <f t="shared" si="28"/>
        <v>0</v>
      </c>
      <c r="AR32" s="43">
        <f t="shared" si="29"/>
        <v>0</v>
      </c>
      <c r="AS32" s="43">
        <f t="shared" si="30"/>
        <v>0</v>
      </c>
      <c r="AT32" s="43">
        <f t="shared" si="31"/>
        <v>0</v>
      </c>
      <c r="AU32" s="43">
        <f t="shared" si="32"/>
        <v>0</v>
      </c>
      <c r="AV32" s="43">
        <f t="shared" si="33"/>
        <v>0</v>
      </c>
      <c r="AW32" s="45">
        <f t="shared" si="34"/>
        <v>0</v>
      </c>
      <c r="AX32" s="45">
        <f t="shared" si="35"/>
        <v>0</v>
      </c>
      <c r="AY32" s="45">
        <f t="shared" si="36"/>
        <v>0</v>
      </c>
      <c r="AZ32" s="45">
        <f t="shared" si="37"/>
        <v>0</v>
      </c>
      <c r="BA32" s="45">
        <f t="shared" si="38"/>
        <v>0</v>
      </c>
      <c r="BB32" s="45">
        <f t="shared" si="39"/>
        <v>0</v>
      </c>
      <c r="BC32" s="45">
        <f t="shared" si="40"/>
        <v>0</v>
      </c>
      <c r="BD32" s="45">
        <f t="shared" si="41"/>
        <v>0</v>
      </c>
      <c r="BE32" s="44">
        <f t="shared" si="42"/>
        <v>0</v>
      </c>
      <c r="BF32" s="44">
        <f t="shared" si="43"/>
        <v>0</v>
      </c>
      <c r="BG32" s="44">
        <f t="shared" si="44"/>
        <v>0</v>
      </c>
      <c r="BH32" s="44">
        <f t="shared" si="45"/>
        <v>0</v>
      </c>
      <c r="BI32" s="4"/>
      <c r="BJ32" s="4"/>
      <c r="BK32" s="4"/>
      <c r="BL32" s="4"/>
    </row>
    <row r="33" spans="1:64" ht="15.6" x14ac:dyDescent="0.3">
      <c r="A33" s="115" t="s">
        <v>58</v>
      </c>
      <c r="B33" s="136">
        <f>SUM(B22:B31)</f>
        <v>78</v>
      </c>
      <c r="C33" s="136">
        <f>SUM(C22:C31)</f>
        <v>79</v>
      </c>
      <c r="D33" s="136">
        <f>SUM(D22:D31)</f>
        <v>94</v>
      </c>
      <c r="E33" s="136">
        <f>SUM(E22:E31)</f>
        <v>104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46">SUM(Q22:Q32)</f>
        <v>70.210000000000008</v>
      </c>
      <c r="R33" s="82">
        <f t="shared" si="46"/>
        <v>74.350000000000009</v>
      </c>
      <c r="S33" s="82">
        <f t="shared" si="46"/>
        <v>88.54</v>
      </c>
      <c r="T33" s="82">
        <f t="shared" si="46"/>
        <v>98.37</v>
      </c>
      <c r="U33" s="82">
        <f t="shared" si="46"/>
        <v>39.76</v>
      </c>
      <c r="V33" s="82">
        <f t="shared" si="46"/>
        <v>49</v>
      </c>
      <c r="W33" s="82">
        <f t="shared" si="46"/>
        <v>61</v>
      </c>
      <c r="X33" s="82">
        <f t="shared" si="46"/>
        <v>70</v>
      </c>
      <c r="Y33" s="82">
        <f t="shared" si="46"/>
        <v>782.29200000000003</v>
      </c>
      <c r="Z33" s="82">
        <f t="shared" si="46"/>
        <v>807.27599999999995</v>
      </c>
      <c r="AA33" s="82">
        <f t="shared" si="46"/>
        <v>949.96800000000007</v>
      </c>
      <c r="AB33" s="82">
        <f t="shared" si="46"/>
        <v>1050.5920000000001</v>
      </c>
      <c r="AC33" s="82">
        <f t="shared" si="46"/>
        <v>5673.71</v>
      </c>
      <c r="AD33" s="82">
        <f t="shared" si="46"/>
        <v>5752.9299999999994</v>
      </c>
      <c r="AE33" s="82">
        <f t="shared" si="46"/>
        <v>6440.04</v>
      </c>
      <c r="AF33" s="82">
        <f t="shared" si="46"/>
        <v>7130.76</v>
      </c>
      <c r="AG33" s="82">
        <f t="shared" si="46"/>
        <v>10487.05</v>
      </c>
      <c r="AH33" s="82">
        <f t="shared" si="46"/>
        <v>11826.269999999999</v>
      </c>
      <c r="AI33" s="82">
        <f t="shared" si="46"/>
        <v>13372.16</v>
      </c>
      <c r="AJ33" s="82">
        <f t="shared" si="46"/>
        <v>14925.039999999999</v>
      </c>
      <c r="AK33" s="82">
        <f t="shared" si="46"/>
        <v>28037.030000000002</v>
      </c>
      <c r="AL33" s="82">
        <f t="shared" si="46"/>
        <v>28479.65</v>
      </c>
      <c r="AM33" s="82">
        <f t="shared" si="46"/>
        <v>34355.599999999999</v>
      </c>
      <c r="AN33" s="82">
        <f t="shared" si="46"/>
        <v>38621.4</v>
      </c>
      <c r="AO33" s="82">
        <f t="shared" si="46"/>
        <v>461.18799999999999</v>
      </c>
      <c r="AP33" s="82">
        <f t="shared" si="46"/>
        <v>505.79599999999994</v>
      </c>
      <c r="AQ33" s="82">
        <f t="shared" si="46"/>
        <v>533.26800000000003</v>
      </c>
      <c r="AR33" s="82">
        <f t="shared" si="46"/>
        <v>587.93200000000002</v>
      </c>
      <c r="AS33" s="82">
        <f t="shared" si="46"/>
        <v>323.77799999999996</v>
      </c>
      <c r="AT33" s="82">
        <f t="shared" si="46"/>
        <v>339.08199999999999</v>
      </c>
      <c r="AU33" s="82">
        <f t="shared" si="46"/>
        <v>382.05799999999999</v>
      </c>
      <c r="AV33" s="82">
        <f t="shared" si="46"/>
        <v>416.79499999999996</v>
      </c>
      <c r="AW33" s="83">
        <f t="shared" si="46"/>
        <v>87.91</v>
      </c>
      <c r="AX33" s="83">
        <f t="shared" si="46"/>
        <v>70.47</v>
      </c>
      <c r="AY33" s="83">
        <f t="shared" si="46"/>
        <v>73.88</v>
      </c>
      <c r="AZ33" s="83">
        <f t="shared" si="46"/>
        <v>80.099999999999994</v>
      </c>
      <c r="BA33" s="84">
        <f t="shared" si="46"/>
        <v>1788.0100000000002</v>
      </c>
      <c r="BB33" s="84">
        <f t="shared" si="46"/>
        <v>1277.1500000000001</v>
      </c>
      <c r="BC33" s="84">
        <f t="shared" si="46"/>
        <v>0</v>
      </c>
      <c r="BD33" s="84">
        <f t="shared" si="46"/>
        <v>0</v>
      </c>
      <c r="BE33" s="84">
        <f t="shared" si="46"/>
        <v>0</v>
      </c>
      <c r="BF33" s="84">
        <f t="shared" si="46"/>
        <v>0</v>
      </c>
      <c r="BG33" s="84">
        <f t="shared" si="46"/>
        <v>0</v>
      </c>
      <c r="BH33" s="84">
        <f t="shared" si="46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0.90012820512820524</v>
      </c>
      <c r="R34" s="65">
        <f>R33/C33</f>
        <v>0.94113924050632924</v>
      </c>
      <c r="S34" s="65">
        <f>S33/D33</f>
        <v>0.9419148936170213</v>
      </c>
      <c r="T34" s="65">
        <f>T33/E33</f>
        <v>0.94586538461538461</v>
      </c>
      <c r="U34" s="141">
        <f>U33/Q33</f>
        <v>0.56630109670987028</v>
      </c>
      <c r="V34" s="138">
        <f>V33/R33</f>
        <v>0.65904505716207118</v>
      </c>
      <c r="W34" s="138">
        <f>W33/S33</f>
        <v>0.68895414501920027</v>
      </c>
      <c r="X34" s="138">
        <f>X33/T33</f>
        <v>0.71159906475551482</v>
      </c>
      <c r="Y34" s="140">
        <f>Y33/Q33</f>
        <v>11.142173479561315</v>
      </c>
      <c r="Z34" s="66">
        <f>Z33/R33</f>
        <v>10.857780766644249</v>
      </c>
      <c r="AA34" s="66">
        <f>AA33/S33</f>
        <v>10.7292523153377</v>
      </c>
      <c r="AB34" s="66">
        <f>AB33/T33</f>
        <v>10.68000406628037</v>
      </c>
      <c r="AC34" s="140">
        <f>AC33/Q33</f>
        <v>80.810568295114649</v>
      </c>
      <c r="AD34" s="66">
        <f>AD33/R33</f>
        <v>77.376328177538653</v>
      </c>
      <c r="AE34" s="66">
        <f>AE33/S33</f>
        <v>72.735938558843458</v>
      </c>
      <c r="AF34" s="66">
        <f>AF33/T33</f>
        <v>72.489173528514783</v>
      </c>
      <c r="AG34" s="140">
        <f>AG33/Q33</f>
        <v>149.36689930209369</v>
      </c>
      <c r="AH34" s="140">
        <f>AH33/R33</f>
        <v>159.06213853396096</v>
      </c>
      <c r="AI34" s="140">
        <f>AI33/S33</f>
        <v>151.02959114524506</v>
      </c>
      <c r="AJ34" s="140">
        <f>AJ33/T33</f>
        <v>151.72349293483785</v>
      </c>
      <c r="AK34" s="66">
        <f>AK33/Q33</f>
        <v>399.33100697906281</v>
      </c>
      <c r="AL34" s="66">
        <f>AL33/R33</f>
        <v>383.04841963685271</v>
      </c>
      <c r="AM34" s="66">
        <f>AM33/S33</f>
        <v>388.02349220691207</v>
      </c>
      <c r="AN34" s="66">
        <f>AN33/T33</f>
        <v>392.61360170783774</v>
      </c>
      <c r="AO34" s="66">
        <f>AO33/Q33</f>
        <v>6.5686939182452635</v>
      </c>
      <c r="AP34" s="66">
        <f>AP33/R33</f>
        <v>6.8029051782111614</v>
      </c>
      <c r="AQ34" s="66">
        <f>AQ33/S33</f>
        <v>6.0229049017393264</v>
      </c>
      <c r="AR34" s="66">
        <f>AR33/T33</f>
        <v>5.9767408762834195</v>
      </c>
      <c r="AS34" s="66">
        <f>AS33/Q33</f>
        <v>4.611565304087736</v>
      </c>
      <c r="AT34" s="66">
        <f>AT33/R33</f>
        <v>4.5606186953597838</v>
      </c>
      <c r="AU34" s="66">
        <f>AU33/S33</f>
        <v>4.3150892252089443</v>
      </c>
      <c r="AV34" s="66">
        <f>AV33/T33</f>
        <v>4.2370133170682109</v>
      </c>
      <c r="AW34" s="67">
        <f>AW33/Q33</f>
        <v>1.2521008403361342</v>
      </c>
      <c r="AX34" s="67">
        <f>AX33/R33</f>
        <v>0.94781439139206447</v>
      </c>
      <c r="AY34" s="67">
        <f>AY33/S33</f>
        <v>0.83442511859046753</v>
      </c>
      <c r="AZ34" s="67">
        <f>AZ33/T33</f>
        <v>0.81427264409881051</v>
      </c>
      <c r="BA34" s="66">
        <f>BA33/Q33</f>
        <v>25.466600199401796</v>
      </c>
      <c r="BB34" s="66">
        <f>BB33/R33</f>
        <v>17.177538668459984</v>
      </c>
      <c r="BC34" s="66">
        <f>BC33/S33</f>
        <v>0</v>
      </c>
      <c r="BD34" s="66">
        <f>BD33/T33</f>
        <v>0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98</v>
      </c>
      <c r="R35" s="27"/>
      <c r="S35" s="27"/>
      <c r="T35" s="27"/>
      <c r="U35" s="22" t="s">
        <v>61</v>
      </c>
      <c r="V35" s="22"/>
      <c r="W35" s="22"/>
      <c r="X35" s="22"/>
      <c r="Y35" s="81" t="s">
        <v>38</v>
      </c>
      <c r="Z35" s="81"/>
      <c r="AA35" s="81"/>
      <c r="AB35" s="81"/>
      <c r="AC35" s="139" t="s">
        <v>39</v>
      </c>
      <c r="AD35" s="139"/>
      <c r="AE35" s="139"/>
      <c r="AF35" s="139"/>
      <c r="AG35" s="68">
        <f t="shared" ref="AG35:AV35" si="47">AG34/1000</f>
        <v>0.14936689930209368</v>
      </c>
      <c r="AH35" s="68">
        <f t="shared" si="47"/>
        <v>0.15906213853396095</v>
      </c>
      <c r="AI35" s="68">
        <f t="shared" si="47"/>
        <v>0.15102959114524506</v>
      </c>
      <c r="AJ35" s="68">
        <f t="shared" si="47"/>
        <v>0.15172349293483786</v>
      </c>
      <c r="AK35" s="68">
        <f t="shared" si="47"/>
        <v>0.39933100697906282</v>
      </c>
      <c r="AL35" s="68">
        <f t="shared" si="47"/>
        <v>0.38304841963685271</v>
      </c>
      <c r="AM35" s="68">
        <f t="shared" si="47"/>
        <v>0.38802349220691207</v>
      </c>
      <c r="AN35" s="68">
        <f t="shared" si="47"/>
        <v>0.39261360170783777</v>
      </c>
      <c r="AO35" s="68">
        <f t="shared" si="47"/>
        <v>6.5686939182452633E-3</v>
      </c>
      <c r="AP35" s="68">
        <f t="shared" si="47"/>
        <v>6.8029051782111617E-3</v>
      </c>
      <c r="AQ35" s="68">
        <f t="shared" si="47"/>
        <v>6.0229049017393264E-3</v>
      </c>
      <c r="AR35" s="68">
        <f t="shared" si="47"/>
        <v>5.9767408762834194E-3</v>
      </c>
      <c r="AS35" s="68">
        <f t="shared" si="47"/>
        <v>4.6115653040877357E-3</v>
      </c>
      <c r="AT35" s="68">
        <f t="shared" si="47"/>
        <v>4.5606186953597834E-3</v>
      </c>
      <c r="AU35" s="68">
        <f t="shared" si="47"/>
        <v>4.3150892252089446E-3</v>
      </c>
      <c r="AV35" s="68">
        <f t="shared" si="47"/>
        <v>4.2370133170682106E-3</v>
      </c>
      <c r="AW35" s="23"/>
      <c r="AX35" s="23"/>
      <c r="AY35" s="23"/>
      <c r="AZ35" s="23"/>
      <c r="BA35" s="68">
        <f>BA34/1000</f>
        <v>2.5466600199401796E-2</v>
      </c>
      <c r="BB35" s="68">
        <f>BB34/1000</f>
        <v>1.7177538668459984E-2</v>
      </c>
      <c r="BC35" s="68">
        <f>BC34/1000</f>
        <v>0</v>
      </c>
      <c r="BD35" s="68">
        <f>BD34/1000</f>
        <v>0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82</v>
      </c>
      <c r="U38" s="11" t="s">
        <v>83</v>
      </c>
      <c r="V38" s="11" t="s">
        <v>84</v>
      </c>
      <c r="W38" s="3"/>
      <c r="X38" s="13" t="s">
        <v>41</v>
      </c>
      <c r="Y38" s="46" t="s">
        <v>42</v>
      </c>
      <c r="Z38" s="46" t="s">
        <v>43</v>
      </c>
      <c r="AB38" s="4"/>
      <c r="AC38" s="4"/>
      <c r="AD38" s="4"/>
      <c r="AE38" s="4"/>
    </row>
    <row r="39" spans="1:64" x14ac:dyDescent="0.25">
      <c r="A39" s="1" t="s">
        <v>45</v>
      </c>
      <c r="B39" s="1">
        <f>B5</f>
        <v>80174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85</v>
      </c>
      <c r="Z39" s="69" t="s">
        <v>86</v>
      </c>
      <c r="AB39" s="4"/>
      <c r="AC39" s="4"/>
      <c r="AD39" s="4"/>
      <c r="AE39" s="4"/>
    </row>
    <row r="40" spans="1:64" x14ac:dyDescent="0.25">
      <c r="A40" s="1" t="s">
        <v>46</v>
      </c>
      <c r="B40" s="162">
        <f>F4</f>
        <v>37917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B43" s="131" t="s">
        <v>76</v>
      </c>
      <c r="C43" s="111" t="s">
        <v>77</v>
      </c>
      <c r="D43" s="131" t="s">
        <v>78</v>
      </c>
      <c r="E43" s="111" t="s">
        <v>79</v>
      </c>
      <c r="F43" s="132" t="s">
        <v>55</v>
      </c>
      <c r="K43" s="131" t="s">
        <v>76</v>
      </c>
      <c r="L43" s="111" t="s">
        <v>77</v>
      </c>
      <c r="M43" s="131" t="s">
        <v>78</v>
      </c>
      <c r="N43" s="111" t="s">
        <v>79</v>
      </c>
      <c r="O43" s="132" t="s">
        <v>55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106</v>
      </c>
      <c r="B45" s="122">
        <f>Q33/B10</f>
        <v>5.0150000000000006</v>
      </c>
      <c r="C45" s="122">
        <f>R33/C10</f>
        <v>7.4350000000000005</v>
      </c>
      <c r="D45" s="122">
        <f>S33/D10</f>
        <v>8.854000000000001</v>
      </c>
      <c r="E45" s="122">
        <f>T33/E10</f>
        <v>9.8369999999999997</v>
      </c>
      <c r="F45" s="147"/>
      <c r="G45" s="15"/>
      <c r="H45" s="15" t="s">
        <v>47</v>
      </c>
      <c r="K45" s="121">
        <f>AO33/AS33</f>
        <v>1.4243957279370434</v>
      </c>
      <c r="L45" s="121">
        <f>AP33/AT33</f>
        <v>1.4916627836334573</v>
      </c>
      <c r="M45" s="121">
        <f>AQ33/AU33</f>
        <v>1.3957776044474923</v>
      </c>
      <c r="N45" s="121">
        <f>AR33/AV33</f>
        <v>1.4106023344809799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107</v>
      </c>
      <c r="B46" s="124">
        <f>B45/B11</f>
        <v>3.3433333333333336E-2</v>
      </c>
      <c r="C46" s="124">
        <f>C45/C11</f>
        <v>2.8596153846153848E-2</v>
      </c>
      <c r="D46" s="124">
        <f>D45/D11</f>
        <v>2.2135000000000002E-2</v>
      </c>
      <c r="E46" s="124">
        <f>E45/E11</f>
        <v>1.9674000000000001E-2</v>
      </c>
      <c r="F46" s="148" t="s">
        <v>125</v>
      </c>
      <c r="G46" s="15"/>
      <c r="H46" s="123" t="s">
        <v>122</v>
      </c>
      <c r="K46" s="5">
        <f>AO33/B10-W15</f>
        <v>5.9420000000000002</v>
      </c>
      <c r="L46" s="5">
        <f>AP33/C10-W16</f>
        <v>20.579599999999992</v>
      </c>
      <c r="M46" s="5">
        <f>AQ33/D10-X17</f>
        <v>24.326800000000006</v>
      </c>
      <c r="N46" s="5">
        <f>AR33/E10-W18</f>
        <v>18.793199999999999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108</v>
      </c>
      <c r="B47" s="122">
        <f>U33/B10</f>
        <v>2.84</v>
      </c>
      <c r="C47" s="122">
        <f>V33/C10</f>
        <v>4.9000000000000004</v>
      </c>
      <c r="D47" s="122">
        <f>W33/D10</f>
        <v>6.1</v>
      </c>
      <c r="E47" s="122">
        <f>X33/E10</f>
        <v>7</v>
      </c>
      <c r="F47" s="149"/>
      <c r="G47" s="15"/>
      <c r="H47" s="123" t="s">
        <v>121</v>
      </c>
      <c r="K47" s="5">
        <f>AS33/B10-X15</f>
        <v>10.126999999999999</v>
      </c>
      <c r="L47" s="5">
        <f>AT33/C10-X16</f>
        <v>18.908200000000001</v>
      </c>
      <c r="M47" s="5">
        <f>AU33/D10-X17</f>
        <v>9.2057999999999964</v>
      </c>
      <c r="N47" s="5">
        <f>AV33/E10-X18</f>
        <v>8.6794999999999973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109</v>
      </c>
      <c r="B48" s="122">
        <f>B45-B47</f>
        <v>2.1750000000000007</v>
      </c>
      <c r="C48" s="122">
        <f>C45-C47</f>
        <v>2.5350000000000001</v>
      </c>
      <c r="D48" s="122">
        <f>D45-D47</f>
        <v>2.7540000000000013</v>
      </c>
      <c r="E48" s="122">
        <f>E45-E47</f>
        <v>2.8369999999999997</v>
      </c>
      <c r="F48" s="148"/>
      <c r="G48" s="15"/>
      <c r="H48" s="15" t="s">
        <v>56</v>
      </c>
      <c r="K48" s="143">
        <f>AO33/Q33/1000</f>
        <v>6.5686939182452633E-3</v>
      </c>
      <c r="L48" s="143">
        <f>AP33/R33/1000</f>
        <v>6.8029051782111617E-3</v>
      </c>
      <c r="M48" s="143">
        <f>AQ33/S33/1000</f>
        <v>6.0229049017393264E-3</v>
      </c>
      <c r="N48" s="143">
        <f>AR33/T33/1000</f>
        <v>5.9767408762834194E-3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111</v>
      </c>
      <c r="B49" s="125">
        <f>B47/B45</f>
        <v>0.56630109670987028</v>
      </c>
      <c r="C49" s="125">
        <f>C47/C45</f>
        <v>0.65904505716207129</v>
      </c>
      <c r="D49" s="125">
        <f>D47/D45</f>
        <v>0.68895414501920027</v>
      </c>
      <c r="E49" s="125">
        <f>E47/E45</f>
        <v>0.71159906475551493</v>
      </c>
      <c r="F49" s="148" t="s">
        <v>113</v>
      </c>
      <c r="G49" s="15"/>
      <c r="H49" s="15" t="s">
        <v>57</v>
      </c>
      <c r="I49" s="15"/>
      <c r="J49" s="15"/>
      <c r="K49" s="143">
        <f>AS33/Q33/1000</f>
        <v>4.6115653040877357E-3</v>
      </c>
      <c r="L49" s="143">
        <f>AT33/R33/1000</f>
        <v>4.5606186953597834E-3</v>
      </c>
      <c r="M49" s="143">
        <f>AU33/S33/1000</f>
        <v>4.3150892252089446E-3</v>
      </c>
      <c r="N49" s="143">
        <f>AV33/T33/1000</f>
        <v>4.2370133170682106E-3</v>
      </c>
      <c r="O49" s="154" t="s">
        <v>116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110</v>
      </c>
      <c r="B50" s="110">
        <f>B48/B12</f>
        <v>2.4166666666666674</v>
      </c>
      <c r="C50" s="110">
        <f>C48/C12</f>
        <v>2.8166666666666669</v>
      </c>
      <c r="D50" s="110">
        <f>D48/D12</f>
        <v>3.0600000000000014</v>
      </c>
      <c r="E50" s="110">
        <f>E48/E12</f>
        <v>3.5462499999999997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95</v>
      </c>
      <c r="B52" s="119">
        <f>Y33/B10/B12</f>
        <v>62.086666666666666</v>
      </c>
      <c r="C52" s="119">
        <f>Z33/C10/C12</f>
        <v>89.697333333333333</v>
      </c>
      <c r="D52" s="119">
        <f>AA33/D10/D12</f>
        <v>105.55200000000001</v>
      </c>
      <c r="E52" s="119">
        <f>AB33/E10/E12</f>
        <v>131.32399999999998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35</v>
      </c>
      <c r="B53" s="124">
        <f>AG35</f>
        <v>0.14936689930209368</v>
      </c>
      <c r="C53" s="124">
        <f>AH35</f>
        <v>0.15906213853396095</v>
      </c>
      <c r="D53" s="124">
        <f>AI35</f>
        <v>0.15102959114524506</v>
      </c>
      <c r="E53" s="124">
        <f>AJ35</f>
        <v>0.15172349293483786</v>
      </c>
      <c r="F53" s="152" t="s">
        <v>112</v>
      </c>
      <c r="G53" s="15"/>
      <c r="H53" s="130" t="s">
        <v>87</v>
      </c>
      <c r="K53" s="146">
        <f>AW33/Q33</f>
        <v>1.2521008403361342</v>
      </c>
      <c r="L53" s="146">
        <f>AX33/R33</f>
        <v>0.94781439139206447</v>
      </c>
      <c r="M53" s="146">
        <f>AY33/S33</f>
        <v>0.83442511859046753</v>
      </c>
      <c r="N53" s="146">
        <f>AZ33/T33</f>
        <v>0.81427264409881051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96</v>
      </c>
      <c r="B54" s="122">
        <f>AG33/Y33</f>
        <v>13.405544221339346</v>
      </c>
      <c r="C54" s="122">
        <f>AH33/Z33</f>
        <v>14.649599393515972</v>
      </c>
      <c r="D54" s="122">
        <f>AI33/AA33</f>
        <v>14.076432048237413</v>
      </c>
      <c r="E54" s="122">
        <f>AJ33/AB33</f>
        <v>14.20631415430538</v>
      </c>
      <c r="F54" s="153" t="s">
        <v>114</v>
      </c>
      <c r="G54" s="15"/>
      <c r="H54" s="130" t="s">
        <v>88</v>
      </c>
      <c r="K54" s="146">
        <f>AW33/B10</f>
        <v>6.2792857142857139</v>
      </c>
      <c r="L54" s="146">
        <f>AX33/C10</f>
        <v>7.0469999999999997</v>
      </c>
      <c r="M54" s="146">
        <f>AY33/D10</f>
        <v>7.3879999999999999</v>
      </c>
      <c r="N54" s="146">
        <f>AZ33/E10</f>
        <v>8.01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7.2526754715630481</v>
      </c>
      <c r="C55" s="122">
        <f>AD33/Z33</f>
        <v>7.1263483616507859</v>
      </c>
      <c r="D55" s="122">
        <f>AE33/AA33</f>
        <v>6.7792178262846745</v>
      </c>
      <c r="E55" s="122">
        <f>AF33/AB33</f>
        <v>6.7873732143401053</v>
      </c>
      <c r="F55" s="153" t="s">
        <v>115</v>
      </c>
      <c r="G55" s="15"/>
      <c r="H55" s="130" t="s">
        <v>89</v>
      </c>
      <c r="K55" s="146">
        <f>K54/B12</f>
        <v>6.9769841269841262</v>
      </c>
      <c r="L55" s="146">
        <f>L54/C12</f>
        <v>7.8299999999999992</v>
      </c>
      <c r="M55" s="146">
        <f>M54/D12</f>
        <v>8.2088888888888878</v>
      </c>
      <c r="N55" s="146">
        <f>N54/E12</f>
        <v>10.012499999999999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36</v>
      </c>
      <c r="B56" s="125">
        <f>AK35</f>
        <v>0.39933100697906282</v>
      </c>
      <c r="C56" s="125">
        <f>AL35</f>
        <v>0.38304841963685271</v>
      </c>
      <c r="D56" s="125">
        <f>AM35</f>
        <v>0.38802349220691207</v>
      </c>
      <c r="E56" s="125">
        <f>AN35</f>
        <v>0.39261360170783777</v>
      </c>
      <c r="F56" s="154" t="s">
        <v>113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99</v>
      </c>
      <c r="B57" s="124">
        <f>AK33/B10/B11/1000</f>
        <v>1.3350966666666669E-2</v>
      </c>
      <c r="C57" s="124">
        <f>AL33/C10/C11/1000</f>
        <v>1.0953711538461539E-2</v>
      </c>
      <c r="D57" s="124">
        <f>AM33/D10/D11/1000</f>
        <v>8.5889E-3</v>
      </c>
      <c r="E57" s="124">
        <f>AN33/E10/E11/1000</f>
        <v>7.72428E-3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11.142173479561315</v>
      </c>
      <c r="C58" s="145">
        <f>Z33/R33</f>
        <v>10.857780766644249</v>
      </c>
      <c r="D58" s="145">
        <f>AA33/S33</f>
        <v>10.7292523153377</v>
      </c>
      <c r="E58" s="145">
        <f>AB33/T33</f>
        <v>10.68000406628037</v>
      </c>
      <c r="F58" s="154"/>
      <c r="G58" s="15"/>
      <c r="H58" s="127" t="s">
        <v>53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97</v>
      </c>
      <c r="I59" s="15"/>
      <c r="J59" s="15"/>
      <c r="K59" s="128">
        <f>((B13-B11)*0.0256)/(AG33/1000/6.25/B10*B14)</f>
        <v>0.19223709241397721</v>
      </c>
      <c r="L59" s="128">
        <f>((C13-C11)*0.0256)/(AH33/1000/6.25/C10*C14)</f>
        <v>0.12176282124456823</v>
      </c>
      <c r="M59" s="128">
        <f>((D13-D11)*0.0256)/(AI33/1000/6.25/D10*D14)</f>
        <v>0.10768641715324975</v>
      </c>
      <c r="N59" s="128">
        <f>((E13-E11)*0.0256)/(AJ33/1000/6.25/E10*E14)</f>
        <v>8.5761914205925077E-2</v>
      </c>
      <c r="O59" s="157" t="s">
        <v>117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105</v>
      </c>
      <c r="K60" s="48">
        <f>BA35</f>
        <v>2.5466600199401796E-2</v>
      </c>
      <c r="L60" s="48">
        <f>BB35</f>
        <v>1.7177538668459984E-2</v>
      </c>
      <c r="M60" s="48">
        <f>BC35</f>
        <v>0</v>
      </c>
      <c r="N60" s="48">
        <f>BD35</f>
        <v>0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1.15312227015128</v>
      </c>
      <c r="C62" s="142">
        <f>Z33/C10/T16</f>
        <v>1.2319503201563506</v>
      </c>
      <c r="D62" s="142">
        <f>AA33/D10/T17</f>
        <v>1.1087769653073998</v>
      </c>
      <c r="E62" s="142">
        <f>AB33/E10/T18</f>
        <v>1.1348343618017713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81</v>
      </c>
      <c r="B63" s="42">
        <f>AG33/B10/U15</f>
        <v>1.1800176782537557</v>
      </c>
      <c r="C63" s="42">
        <f>AH33/C10/U16</f>
        <v>1.5558257468107139</v>
      </c>
      <c r="D63" s="42">
        <f>AI33/D10/U17</f>
        <v>1.4451503341481948</v>
      </c>
      <c r="E63" s="42">
        <f>AJ33/E10/U18</f>
        <v>1.5501743708515978</v>
      </c>
      <c r="F63" s="156">
        <v>1</v>
      </c>
      <c r="G63" s="15"/>
      <c r="H63" s="127" t="s">
        <v>62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1.1535478075088672</v>
      </c>
      <c r="C64" s="123">
        <f>AD33/C10/V16</f>
        <v>1.3006380956564991</v>
      </c>
      <c r="D64" s="123">
        <f>AE33/D10/V17</f>
        <v>1.1564062413208844</v>
      </c>
      <c r="E64" s="123">
        <f>AF33/E10/V18</f>
        <v>1.1850068230778601</v>
      </c>
      <c r="F64" s="156">
        <v>1</v>
      </c>
      <c r="G64" s="15"/>
      <c r="H64" s="15" t="s">
        <v>63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64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104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100</v>
      </c>
      <c r="B68" s="5">
        <f>Y33/B10-T5</f>
        <v>34.500773785315857</v>
      </c>
      <c r="C68" s="5">
        <f>Z33/C10-T6</f>
        <v>48.434263375754462</v>
      </c>
      <c r="D68" s="5">
        <f>AA33/D10-T7</f>
        <v>50.387243848879201</v>
      </c>
      <c r="E68" s="5">
        <f>AB33/E10-T8</f>
        <v>52.32280823590186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119</v>
      </c>
      <c r="B69" s="71">
        <f>((0.435*B68)/(6.28+0.0188*B11))/(1+(((0.435*B68)/(6.28+0.0188*B11))*0.3))/1.05</f>
        <v>1.0507873038376281</v>
      </c>
      <c r="C69" s="71">
        <f>((0.435*C68)/(6.28+0.0188*C11))/(1+(((0.435*C68)/(6.28+0.0188*C11))*0.3))/1.05</f>
        <v>1.1473497885226669</v>
      </c>
      <c r="D69" s="71">
        <f>((0.435*D68)/(6.28+0.0188*D11))/(1+(((0.435*D68)/(6.28+0.0188*D11))*0.3))/1.05</f>
        <v>1.0244989875675483</v>
      </c>
      <c r="E69" s="71">
        <f>((0.435*E68)/(6.28+0.0188*E11))/(1+(((0.435*E68)/(6.28+0.0188*E11))*0.3))/1.05</f>
        <v>0.96305625471441747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118</v>
      </c>
      <c r="B70" s="162">
        <f>F4+((B13-B11)/B69)</f>
        <v>38297.666951855186</v>
      </c>
      <c r="C70" s="162">
        <f>G4+((C13-C11)/C69)</f>
        <v>252.75639818037129</v>
      </c>
      <c r="D70" s="162">
        <f>H4+((D13-D11)/D69)</f>
        <v>146.41302902225664</v>
      </c>
      <c r="E70" s="162">
        <f>I4+((E13-E11)/E69)</f>
        <v>103.83609421617201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F4:G4"/>
    <mergeCell ref="Q21:T21"/>
    <mergeCell ref="Y21:AB21"/>
    <mergeCell ref="F5:H5"/>
    <mergeCell ref="C8:D8"/>
    <mergeCell ref="E8:F8"/>
    <mergeCell ref="B20:E20"/>
    <mergeCell ref="G20:M20"/>
    <mergeCell ref="AO21:AR21"/>
    <mergeCell ref="AS21:AV21"/>
    <mergeCell ref="AC21:AF21"/>
    <mergeCell ref="U21:X21"/>
    <mergeCell ref="AG21:AJ21"/>
    <mergeCell ref="AK21:AN21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mjölkrastjurar</vt:lpstr>
      <vt:lpstr>mjölkraskvigor &amp; stutar</vt:lpstr>
      <vt:lpstr>köttrastjurar</vt:lpstr>
      <vt:lpstr>köttraskvigor &amp; stutar</vt:lpstr>
      <vt:lpstr>'köttraskvigor &amp; stutar'!Utskriftsområde</vt:lpstr>
      <vt:lpstr>köttrastjurar!Utskriftsområde</vt:lpstr>
      <vt:lpstr>'mjölkraskvigor &amp; stutar'!Utskriftsområde</vt:lpstr>
      <vt:lpstr>mjölkrastjurar!Utskriftsområde</vt:lpstr>
    </vt:vector>
  </TitlesOfParts>
  <Company>BKH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 Åkerlind</dc:creator>
  <cp:lastModifiedBy>Dan-Axel Danielsson</cp:lastModifiedBy>
  <cp:lastPrinted>2011-04-13T10:51:24Z</cp:lastPrinted>
  <dcterms:created xsi:type="dcterms:W3CDTF">2000-05-03T19:47:34Z</dcterms:created>
  <dcterms:modified xsi:type="dcterms:W3CDTF">2022-08-10T06:34:42Z</dcterms:modified>
</cp:coreProperties>
</file>