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elning\Växt- och kontrollavdelningen\3 Greppa\MODULUNDERLAG\50A B Utfodringskontroll gris\Nytt\"/>
    </mc:Choice>
  </mc:AlternateContent>
  <bookViews>
    <workbookView xWindow="0" yWindow="0" windowWidth="23040" windowHeight="9192"/>
  </bookViews>
  <sheets>
    <sheet name="Smågrisprod" sheetId="1" r:id="rId1"/>
    <sheet name="Poolsugga di 3v" sheetId="2" r:id="rId2"/>
    <sheet name="Poolsugga di 7v" sheetId="7" r:id="rId3"/>
    <sheet name="Poolsugga sin3v" sheetId="4" r:id="rId4"/>
    <sheet name="Poolsugga sin7v" sheetId="5" r:id="rId5"/>
    <sheet name="Slaktgrisar" sheetId="6" r:id="rId6"/>
    <sheet name="Integrerad produktion" sheetId="8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4" l="1"/>
  <c r="B14" i="4"/>
  <c r="F14" i="5"/>
  <c r="B14" i="5"/>
  <c r="F15" i="6"/>
  <c r="F23" i="8"/>
  <c r="B23" i="8"/>
  <c r="L11" i="8"/>
  <c r="C34" i="8" l="1"/>
  <c r="B34" i="8"/>
  <c r="C33" i="8"/>
  <c r="B33" i="8"/>
  <c r="C32" i="8"/>
  <c r="B32" i="8"/>
  <c r="C31" i="8"/>
  <c r="B31" i="8"/>
  <c r="C30" i="8"/>
  <c r="B30" i="8"/>
  <c r="Q21" i="8"/>
  <c r="P21" i="8"/>
  <c r="K21" i="8"/>
  <c r="K22" i="8" s="1"/>
  <c r="C15" i="8" s="1"/>
  <c r="Q16" i="8"/>
  <c r="P16" i="8"/>
  <c r="K16" i="8"/>
  <c r="K17" i="8" s="1"/>
  <c r="C10" i="8" s="1"/>
  <c r="N13" i="8"/>
  <c r="L13" i="8"/>
  <c r="N11" i="8"/>
  <c r="N8" i="8"/>
  <c r="L8" i="8"/>
  <c r="N6" i="8"/>
  <c r="L6" i="8"/>
  <c r="N4" i="8"/>
  <c r="L4" i="8"/>
  <c r="C23" i="6"/>
  <c r="B23" i="6"/>
  <c r="B15" i="6"/>
  <c r="Q9" i="6"/>
  <c r="P9" i="6"/>
  <c r="J9" i="6"/>
  <c r="J10" i="6" s="1"/>
  <c r="C6" i="6" s="1"/>
  <c r="B9" i="6"/>
  <c r="N4" i="6"/>
  <c r="F17" i="6" s="1"/>
  <c r="L4" i="6"/>
  <c r="C23" i="5"/>
  <c r="B23" i="5"/>
  <c r="C22" i="5"/>
  <c r="B22" i="5"/>
  <c r="B12" i="5"/>
  <c r="F16" i="5" s="1"/>
  <c r="F18" i="5" s="1"/>
  <c r="N6" i="5"/>
  <c r="L6" i="5"/>
  <c r="N4" i="5"/>
  <c r="L4" i="5"/>
  <c r="C25" i="4"/>
  <c r="B25" i="4"/>
  <c r="C24" i="4"/>
  <c r="B24" i="4"/>
  <c r="B16" i="4"/>
  <c r="B18" i="4" s="1"/>
  <c r="B12" i="4"/>
  <c r="N6" i="4"/>
  <c r="L6" i="4"/>
  <c r="N4" i="4"/>
  <c r="F16" i="4" s="1"/>
  <c r="F18" i="4" s="1"/>
  <c r="L4" i="4"/>
  <c r="C25" i="7"/>
  <c r="B25" i="7"/>
  <c r="C24" i="7"/>
  <c r="B24" i="7"/>
  <c r="F16" i="7"/>
  <c r="B16" i="7"/>
  <c r="P14" i="7"/>
  <c r="O14" i="7"/>
  <c r="J14" i="7"/>
  <c r="J15" i="7" s="1"/>
  <c r="C8" i="7" s="1"/>
  <c r="N6" i="7"/>
  <c r="F18" i="7" s="1"/>
  <c r="L6" i="7"/>
  <c r="B18" i="7" s="1"/>
  <c r="B20" i="7" s="1"/>
  <c r="N4" i="7"/>
  <c r="L4" i="7"/>
  <c r="C25" i="2"/>
  <c r="B25" i="2"/>
  <c r="C24" i="2"/>
  <c r="B24" i="2"/>
  <c r="F16" i="2"/>
  <c r="B16" i="2"/>
  <c r="P14" i="2"/>
  <c r="O14" i="2"/>
  <c r="J14" i="2"/>
  <c r="J15" i="2" s="1"/>
  <c r="C8" i="2" s="1"/>
  <c r="N6" i="2"/>
  <c r="F18" i="2" s="1"/>
  <c r="L6" i="2"/>
  <c r="N4" i="2"/>
  <c r="L4" i="2"/>
  <c r="C33" i="1"/>
  <c r="B33" i="1"/>
  <c r="C32" i="1"/>
  <c r="B32" i="1"/>
  <c r="C31" i="1"/>
  <c r="B31" i="1"/>
  <c r="C30" i="1"/>
  <c r="B30" i="1"/>
  <c r="F21" i="1"/>
  <c r="B21" i="1"/>
  <c r="Q20" i="1"/>
  <c r="P20" i="1"/>
  <c r="K20" i="1"/>
  <c r="K21" i="1" s="1"/>
  <c r="C12" i="1" s="1"/>
  <c r="N13" i="1"/>
  <c r="L13" i="1"/>
  <c r="N10" i="1"/>
  <c r="L10" i="1"/>
  <c r="C9" i="1"/>
  <c r="C8" i="1"/>
  <c r="N6" i="1"/>
  <c r="L6" i="1"/>
  <c r="N4" i="1"/>
  <c r="L4" i="1"/>
  <c r="B16" i="5" l="1"/>
  <c r="B18" i="5" s="1"/>
  <c r="B18" i="2"/>
  <c r="B20" i="2" s="1"/>
  <c r="B24" i="8"/>
  <c r="B17" i="6"/>
  <c r="B19" i="6" s="1"/>
  <c r="F19" i="6"/>
  <c r="F20" i="7"/>
  <c r="B26" i="8"/>
  <c r="F24" i="8"/>
  <c r="F26" i="8" s="1"/>
  <c r="F20" i="2"/>
  <c r="B23" i="1"/>
  <c r="B25" i="1" s="1"/>
  <c r="N8" i="1"/>
  <c r="L8" i="1"/>
  <c r="F23" i="1"/>
  <c r="F25" i="1" s="1"/>
</calcChain>
</file>

<file path=xl/comments1.xml><?xml version="1.0" encoding="utf-8"?>
<comments xmlns="http://schemas.openxmlformats.org/spreadsheetml/2006/main">
  <authors>
    <author>Leif</author>
    <author>leigor01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Ange mängden NE per dräktighet</t>
        </r>
      </text>
    </comment>
    <comment ref="G4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Beräkning av suggvikter se fliken Vikter suggor</t>
        </r>
      </text>
    </comment>
    <comment ref="H4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Beräkning av suggvikter se fliken Vikter suggor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Beräknat från SLU:s rekommendationer och hänsyn tagen till tomdagar enligt PigWin 2010</t>
        </r>
      </text>
    </comment>
    <comment ref="D5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Beräknat från 0,42g sislys/MJ NEs= 0,32
g sislys/MJOE</t>
        </r>
      </text>
    </comment>
    <comment ref="E5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Beräknad från SLU rek och ett typfoder med fytas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Ange mängden per diperiod</t>
        </r>
      </text>
    </comment>
    <comment ref="G6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Beräkning av suggvikter se fliken Vikter suggor</t>
        </r>
      </text>
    </comment>
    <comment ref="D7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Beräknat från 0,69g sislys/MJ NEs = 0,52 g sislys/MJ OE</t>
        </r>
      </text>
    </comment>
    <comment ref="E7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Beräknad från SLU rek och ett typfoder med fytas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Ange mängden per producerad gris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Riktvärde för viktsintervall 10-30 kg beräknat från PigWin 2010 samt dansk uppföljning från 2010</t>
        </r>
      </text>
    </comment>
    <comment ref="D11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Beräknat från 0,99 g sislys/MJ Nev = 0,74g sislys/MJ OE</t>
        </r>
      </text>
    </comment>
    <comment ref="E11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Beräknat från SLU rek samt ett typfoder med fytas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Riktvärde för här angivet viktsintervall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Det är detta värde som skall jämföras med medel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Ange mängden per producerad gylta 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Gäller 30-140kg
</t>
        </r>
      </text>
    </comment>
    <comment ref="D14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Det högre värdet fram till 50 därefter det lägre</t>
        </r>
      </text>
    </comment>
    <comment ref="E14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Beräknat från SLU rek och typfoder med fytas. Det högre värdet gäller till 50kg och det lägre därefter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Korrigerat till 10-30kg 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Riktvärde för viktsintervall 10-30 kg beräknat från PigWin 2010 samt dansk uppföljning från 2010</t>
        </r>
      </text>
    </comment>
  </commentList>
</comments>
</file>

<file path=xl/comments2.xml><?xml version="1.0" encoding="utf-8"?>
<comments xmlns="http://schemas.openxmlformats.org/spreadsheetml/2006/main">
  <authors>
    <author>Leif</author>
    <author>leigor01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total fodermängd fördelad på antalet grisande suggor</t>
        </r>
      </text>
    </comment>
    <comment ref="D5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Beräknat från 0,69g sislys/MJ NEs = 0,52 g sislys/MJ OE</t>
        </r>
      </text>
    </comment>
    <comment ref="E5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Beräknad från SLU rek och ett typfoder med fytas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Riktvärde för viktsintervall 10-30 kg beräknat från PigWin 2010 samt dansk uppföljning från 2010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Riktvärde för här angivet viktsintervall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Det är detta värde som skall jämföras med Medel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Korrigerat till 10-30kg 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Riktvärde för viktsintervall 10-30 kg beräknat från PigWin 2010 samt dansk uppföljning från 2010</t>
        </r>
      </text>
    </comment>
  </commentList>
</comments>
</file>

<file path=xl/comments3.xml><?xml version="1.0" encoding="utf-8"?>
<comments xmlns="http://schemas.openxmlformats.org/spreadsheetml/2006/main">
  <authors>
    <author>Leif</author>
    <author>leigor01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total fodermängd fördelad på antalet suggor som grisat</t>
        </r>
      </text>
    </comment>
    <comment ref="D5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Beräknat från 0,69g sislys/MJ NEs = 0,52 g sislys/MJ OE</t>
        </r>
      </text>
    </comment>
    <comment ref="E5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Beräknad från SLU rek och ett typfoder med fytas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Riktvärde för viktsintervall 10-30 kg beräknat från PigWin 2010 samt dansk uppföljning från 2010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Riktvärde för här angivet viktsintervall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Det är detta värde som skall jämföras med Medel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Korrigerat till 10-30kg 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Riktvärde för viktsintervall 10-30 kg beräknat från PigWin 2010 samt dansk uppföljning från 2010</t>
        </r>
      </text>
    </comment>
  </commentList>
</comments>
</file>

<file path=xl/comments4.xml><?xml version="1.0" encoding="utf-8"?>
<comments xmlns="http://schemas.openxmlformats.org/spreadsheetml/2006/main">
  <authors>
    <author>Leif</author>
    <author>leigor01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Total mängd foder fördelad på antalet levererade till satellit</t>
        </r>
      </text>
    </comment>
    <comment ref="D5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Beräknat från 0,42g sislys/MJ NEs= 0,32
g sislys/MJOE</t>
        </r>
      </text>
    </comment>
    <comment ref="E5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Beräknad från SLU rek och ett typfoder med fytas</t>
        </r>
      </text>
    </comment>
    <comment ref="D7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Det högre värdet fram till 50 därefter det lägre</t>
        </r>
      </text>
    </comment>
    <comment ref="E7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Beräknat från SLU rek och typfoder med fytas. Det högre värdet gäller till 50kg och det lägre därefter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Medelantal djur som utfodrats</t>
        </r>
      </text>
    </comment>
  </commentList>
</comments>
</file>

<file path=xl/comments5.xml><?xml version="1.0" encoding="utf-8"?>
<comments xmlns="http://schemas.openxmlformats.org/spreadsheetml/2006/main">
  <authors>
    <author>Leif</author>
    <author>leigor01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Fodermängd under perioden fördelad på antalet levererade till satellit</t>
        </r>
      </text>
    </comment>
    <comment ref="D5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Beräknat från 0,42g sislys/MJ NEs= 0,32
g sislys/MJOE</t>
        </r>
      </text>
    </comment>
    <comment ref="E5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Beräknad från SLU rek och ett typfoder med fytas</t>
        </r>
      </text>
    </comment>
    <comment ref="D7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Det högre värdet fram till 50 därefter det lägre</t>
        </r>
      </text>
    </comment>
    <comment ref="E7" authorId="1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Beräknat från SLU rek och typfoder med fytas. Det högre värdet gäller till 50kg och det lägre därefter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Medelantal djur som utfodrats</t>
        </r>
      </text>
    </comment>
  </commentList>
</comments>
</file>

<file path=xl/comments6.xml><?xml version="1.0" encoding="utf-8"?>
<comments xmlns="http://schemas.openxmlformats.org/spreadsheetml/2006/main">
  <authors>
    <author>Leif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Medeltal för Pigwin2010 i viktsintervallet 30-115kg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Motsvarar riktvärdet
men  inom det intervall som anges av in och utvikt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Kan anges per år eller under period. Om årsproduktionen av N och P skall beräknas så anges antalet/år här.
 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Korrigerat till 30-115kg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Riktvärde för 30-115kg, medeltal från Pigwin 2010</t>
        </r>
      </text>
    </comment>
  </commentList>
</comments>
</file>

<file path=xl/comments7.xml><?xml version="1.0" encoding="utf-8"?>
<comments xmlns="http://schemas.openxmlformats.org/spreadsheetml/2006/main">
  <authors>
    <author>leigor01</author>
    <author>Leif</author>
  </authors>
  <commentList>
    <comment ref="G4" authorId="0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Beräkning av suggvikter se fliken Vikter suggor</t>
        </r>
      </text>
    </comment>
    <comment ref="H4" authorId="0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Beräkning av suggvikter se fliken Vikter suggor
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Beräknat från SLU:s rekommendationer och hänsyn tagen till tomdagar enligt PigWin 2010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Beräknat från 0,42g sislys/MJ NEs= 0,32
g sislys/MJOE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Beräknad från SLU rek och ett typfoder med fytas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Beräkning av suggvikter se fliken Vikter suggor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Beräknat från 0,69g sislys/MJ NEs = 0,52 g sislys/MJ OE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Beräknad från SLU rek och ett typfoder med fytas</t>
        </r>
      </text>
    </comment>
    <comment ref="B9" authorId="1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Riktvärde för viktsintervall 10-30 kg beräknat från PigWin 2010 samt dansk uppföljning från 2010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Beräknat från 0,99 g sislys/MJ Nev = 0,74g sislys/MJ OE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Beräknat från SLU rek samt ett typfoder med fytas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Riktvärde för här angivet viktsintervall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Det är detta värde som skall jämföras med medel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Gäller 30-140kg
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Det högre värdet fram till 50 kg, därefter det lägre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leigor01:</t>
        </r>
        <r>
          <rPr>
            <sz val="8"/>
            <color indexed="81"/>
            <rFont val="Tahoma"/>
            <family val="2"/>
          </rPr>
          <t xml:space="preserve">
Beräknat från SLU rek och typfoder med fytas. Det högre värdet gäller till 50kg och det lägre därefter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Medeltal för Pigwin2010 i viktsintervallet 30-115kg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Korrigerat till 10-30kg 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Riktvärde för viktsintervall 10-30 kg beräknat från PigWin 2010 samt dansk uppföljning från 2010
</t>
        </r>
      </text>
    </comment>
    <comment ref="H22" authorId="1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Korrigerat till 30-115kg</t>
        </r>
      </text>
    </comment>
    <comment ref="H23" authorId="1" shapeId="0">
      <text>
        <r>
          <rPr>
            <b/>
            <sz val="9"/>
            <color indexed="81"/>
            <rFont val="Tahoma"/>
            <family val="2"/>
          </rPr>
          <t>Leif:</t>
        </r>
        <r>
          <rPr>
            <sz val="9"/>
            <color indexed="81"/>
            <rFont val="Tahoma"/>
            <family val="2"/>
          </rPr>
          <t xml:space="preserve">
Riktvärde för 30-115kg, medeltal från Pigwin 2010</t>
        </r>
      </text>
    </comment>
  </commentList>
</comments>
</file>

<file path=xl/sharedStrings.xml><?xml version="1.0" encoding="utf-8"?>
<sst xmlns="http://schemas.openxmlformats.org/spreadsheetml/2006/main" count="316" uniqueCount="74">
  <si>
    <t>Beräkning av N och P i gödsel samt N och P effektivitet, fyll i gula fält</t>
  </si>
  <si>
    <t>MJ NE/</t>
  </si>
  <si>
    <t>g/kg kroppsvikt</t>
  </si>
  <si>
    <t>Rp</t>
  </si>
  <si>
    <t>P</t>
  </si>
  <si>
    <t>Invikt,kg</t>
  </si>
  <si>
    <t>Utvikt,kg</t>
  </si>
  <si>
    <t>N</t>
  </si>
  <si>
    <t>Medel</t>
  </si>
  <si>
    <t>Sugga</t>
  </si>
  <si>
    <t>Poolsugga sin</t>
  </si>
  <si>
    <t>Smågris</t>
  </si>
  <si>
    <t>Rekrytering</t>
  </si>
  <si>
    <t>Antal rekryteringsdjur/år</t>
  </si>
  <si>
    <t>Antal SIP</t>
  </si>
  <si>
    <t>Antal smågrisar/år</t>
  </si>
  <si>
    <t>Kullar/årssugga</t>
  </si>
  <si>
    <t>N in med foder,kg</t>
  </si>
  <si>
    <t>P in med foder,kg</t>
  </si>
  <si>
    <t xml:space="preserve">N i gödsel , kg </t>
  </si>
  <si>
    <t>P i gödsel,kg</t>
  </si>
  <si>
    <t>N effektivitet,%</t>
  </si>
  <si>
    <t>P effektivitet,%</t>
  </si>
  <si>
    <t>Poolsugga dig +3v dräktighet</t>
  </si>
  <si>
    <t>Antal dräktiga suggor levererade</t>
  </si>
  <si>
    <t>Antal suggenheter</t>
  </si>
  <si>
    <t xml:space="preserve">Antal suggor till slakt som betäckts </t>
  </si>
  <si>
    <t xml:space="preserve">Sinsugga </t>
  </si>
  <si>
    <t>Digivande sugga</t>
  </si>
  <si>
    <t xml:space="preserve">Antal grisningar/år </t>
  </si>
  <si>
    <t xml:space="preserve">djur </t>
  </si>
  <si>
    <t>Riktvärde</t>
  </si>
  <si>
    <t>16,9-12,9</t>
  </si>
  <si>
    <t>0,48-0,38</t>
  </si>
  <si>
    <t xml:space="preserve">gram/MJ NE </t>
  </si>
  <si>
    <t>gram/MJ NE</t>
  </si>
  <si>
    <t>Antal in</t>
  </si>
  <si>
    <t>Antal ut</t>
  </si>
  <si>
    <t>Medelantal</t>
  </si>
  <si>
    <t>Riktvärde korr.</t>
  </si>
  <si>
    <t xml:space="preserve"> faktiskt värde korrigerat till 30-115kg</t>
  </si>
  <si>
    <t xml:space="preserve">   faktiskt värde i angivet viktsintervall</t>
  </si>
  <si>
    <t>Faktiskt värde</t>
  </si>
  <si>
    <t>Faktiskt korr. värde</t>
  </si>
  <si>
    <t>skall jämföras med faktiskt korr. värde</t>
  </si>
  <si>
    <t>Sinsuggor</t>
  </si>
  <si>
    <t>Digivande</t>
  </si>
  <si>
    <t xml:space="preserve">Smågrisar </t>
  </si>
  <si>
    <t>Suggor</t>
  </si>
  <si>
    <t>Smågrisar</t>
  </si>
  <si>
    <t xml:space="preserve"> MJ NEv/kg tillv. För smågrisarna</t>
  </si>
  <si>
    <t>Slaktgrisar</t>
  </si>
  <si>
    <t xml:space="preserve">Riktvärde korr. </t>
  </si>
  <si>
    <t>NP i gödsel, kg per dräktighet, diperiod eller djur</t>
  </si>
  <si>
    <t>Antal slaktgrisar in</t>
  </si>
  <si>
    <t>Antal slaktgrisar ut</t>
  </si>
  <si>
    <t xml:space="preserve"> faktiskt värde korrigerat till 10-30kg</t>
  </si>
  <si>
    <t xml:space="preserve"> MJ NEv/kg tillv. för smågrisarna</t>
  </si>
  <si>
    <t xml:space="preserve"> MJ NEv/kg tillv. för slaktgrisar</t>
  </si>
  <si>
    <t xml:space="preserve">MJ NEv/kg tillv. för slaktgrisar </t>
  </si>
  <si>
    <t>% avvikelse av Rp och P i fodret från riktvärdet</t>
  </si>
  <si>
    <t>Effektiviteten här blir låg eftersom större delen av fodret går till underhåll</t>
  </si>
  <si>
    <t>gram/MJ NE i fodret</t>
  </si>
  <si>
    <t>MJ NE/dr.</t>
  </si>
  <si>
    <t>diper. el djur</t>
  </si>
  <si>
    <t>g ansatt/kg kroppsvikt</t>
  </si>
  <si>
    <t>NP i gödsel, kg per dräktighet eller djur</t>
  </si>
  <si>
    <t>NP i gödsel, kg per diperiod eller djur</t>
  </si>
  <si>
    <t>NP i gödsel, kg per djur</t>
  </si>
  <si>
    <t>MJ NE/diper.</t>
  </si>
  <si>
    <t>eller smågris</t>
  </si>
  <si>
    <t>eller rekr.djur</t>
  </si>
  <si>
    <t>diper. el. djur</t>
  </si>
  <si>
    <t>Poolsugga dig +7v dräktighet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</si>
</sst>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1" fontId="3" fillId="2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" fontId="3" fillId="0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Fill="1" applyProtection="1">
      <protection locked="0"/>
    </xf>
    <xf numFmtId="2" fontId="0" fillId="0" borderId="0" xfId="0" applyNumberFormat="1" applyFont="1" applyFill="1" applyProtection="1"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Fill="1" applyProtection="1"/>
    <xf numFmtId="0" fontId="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2" fontId="3" fillId="0" borderId="0" xfId="0" applyNumberFormat="1" applyFont="1" applyFill="1" applyProtection="1"/>
    <xf numFmtId="1" fontId="0" fillId="0" borderId="0" xfId="0" applyNumberForma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Fill="1" applyProtection="1"/>
    <xf numFmtId="1" fontId="0" fillId="0" borderId="0" xfId="0" applyNumberFormat="1" applyFill="1" applyAlignment="1" applyProtection="1">
      <alignment horizontal="center"/>
    </xf>
    <xf numFmtId="2" fontId="12" fillId="0" borderId="2" xfId="0" applyNumberFormat="1" applyFont="1" applyFill="1" applyBorder="1" applyProtection="1"/>
    <xf numFmtId="2" fontId="12" fillId="0" borderId="3" xfId="0" applyNumberFormat="1" applyFont="1" applyFill="1" applyBorder="1" applyProtection="1"/>
    <xf numFmtId="0" fontId="12" fillId="0" borderId="0" xfId="0" applyFont="1" applyBorder="1" applyAlignment="1" applyProtection="1">
      <alignment horizontal="center"/>
    </xf>
    <xf numFmtId="2" fontId="12" fillId="0" borderId="0" xfId="0" applyNumberFormat="1" applyFont="1" applyBorder="1" applyProtection="1"/>
    <xf numFmtId="2" fontId="12" fillId="0" borderId="0" xfId="0" applyNumberFormat="1" applyFont="1" applyFill="1" applyBorder="1" applyProtection="1"/>
    <xf numFmtId="2" fontId="12" fillId="0" borderId="5" xfId="0" applyNumberFormat="1" applyFont="1" applyFill="1" applyBorder="1" applyProtection="1"/>
    <xf numFmtId="164" fontId="12" fillId="0" borderId="0" xfId="0" applyNumberFormat="1" applyFont="1" applyBorder="1" applyAlignment="1" applyProtection="1">
      <alignment horizontal="center"/>
    </xf>
    <xf numFmtId="1" fontId="12" fillId="0" borderId="0" xfId="0" applyNumberFormat="1" applyFont="1" applyFill="1" applyBorder="1" applyProtection="1"/>
    <xf numFmtId="1" fontId="12" fillId="0" borderId="5" xfId="0" applyNumberFormat="1" applyFont="1" applyFill="1" applyBorder="1" applyProtection="1"/>
    <xf numFmtId="0" fontId="12" fillId="0" borderId="0" xfId="0" applyFont="1" applyBorder="1" applyProtection="1"/>
    <xf numFmtId="1" fontId="0" fillId="0" borderId="0" xfId="0" applyNumberFormat="1" applyProtection="1"/>
    <xf numFmtId="1" fontId="2" fillId="0" borderId="0" xfId="0" applyNumberFormat="1" applyFont="1" applyProtection="1"/>
    <xf numFmtId="1" fontId="3" fillId="0" borderId="0" xfId="0" applyNumberFormat="1" applyFont="1" applyFill="1" applyProtection="1"/>
    <xf numFmtId="0" fontId="8" fillId="0" borderId="0" xfId="0" applyFont="1" applyProtection="1"/>
    <xf numFmtId="0" fontId="3" fillId="0" borderId="0" xfId="0" applyFont="1" applyFill="1" applyProtection="1"/>
    <xf numFmtId="0" fontId="0" fillId="2" borderId="0" xfId="0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2" fontId="3" fillId="0" borderId="0" xfId="0" applyNumberFormat="1" applyFont="1" applyFill="1" applyAlignment="1" applyProtection="1">
      <alignment horizontal="center"/>
    </xf>
    <xf numFmtId="2" fontId="10" fillId="0" borderId="2" xfId="0" applyNumberFormat="1" applyFont="1" applyFill="1" applyBorder="1" applyProtection="1"/>
    <xf numFmtId="2" fontId="10" fillId="0" borderId="3" xfId="0" applyNumberFormat="1" applyFont="1" applyFill="1" applyBorder="1" applyProtection="1"/>
    <xf numFmtId="2" fontId="10" fillId="0" borderId="0" xfId="0" applyNumberFormat="1" applyFont="1" applyBorder="1" applyProtection="1"/>
    <xf numFmtId="2" fontId="10" fillId="0" borderId="0" xfId="0" applyNumberFormat="1" applyFont="1" applyFill="1" applyBorder="1" applyProtection="1"/>
    <xf numFmtId="2" fontId="10" fillId="0" borderId="5" xfId="0" applyNumberFormat="1" applyFont="1" applyFill="1" applyBorder="1" applyProtection="1"/>
    <xf numFmtId="164" fontId="12" fillId="0" borderId="0" xfId="0" applyNumberFormat="1" applyFont="1" applyBorder="1" applyProtection="1"/>
    <xf numFmtId="1" fontId="12" fillId="0" borderId="0" xfId="0" applyNumberFormat="1" applyFont="1" applyFill="1" applyBorder="1" applyAlignment="1" applyProtection="1">
      <alignment horizontal="center"/>
    </xf>
    <xf numFmtId="1" fontId="12" fillId="0" borderId="5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5" xfId="0" applyFont="1" applyFill="1" applyBorder="1" applyProtection="1"/>
    <xf numFmtId="0" fontId="10" fillId="0" borderId="6" xfId="0" applyFont="1" applyBorder="1" applyProtection="1"/>
    <xf numFmtId="0" fontId="10" fillId="0" borderId="7" xfId="0" applyFont="1" applyBorder="1" applyProtection="1"/>
    <xf numFmtId="0" fontId="10" fillId="0" borderId="7" xfId="0" applyFont="1" applyFill="1" applyBorder="1" applyAlignment="1" applyProtection="1">
      <alignment horizontal="center"/>
    </xf>
    <xf numFmtId="0" fontId="10" fillId="0" borderId="7" xfId="0" applyFont="1" applyFill="1" applyBorder="1" applyProtection="1"/>
    <xf numFmtId="0" fontId="10" fillId="0" borderId="8" xfId="0" applyFont="1" applyFill="1" applyBorder="1" applyProtection="1"/>
    <xf numFmtId="1" fontId="2" fillId="0" borderId="0" xfId="0" applyNumberFormat="1" applyFont="1" applyAlignment="1" applyProtection="1">
      <alignment horizontal="center"/>
    </xf>
    <xf numFmtId="1" fontId="3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2" fontId="10" fillId="0" borderId="2" xfId="0" applyNumberFormat="1" applyFont="1" applyBorder="1" applyProtection="1"/>
    <xf numFmtId="0" fontId="1" fillId="0" borderId="0" xfId="0" applyFont="1" applyProtection="1"/>
    <xf numFmtId="1" fontId="0" fillId="2" borderId="0" xfId="0" applyNumberFormat="1" applyFill="1" applyAlignment="1" applyProtection="1">
      <alignment horizontal="center"/>
      <protection locked="0"/>
    </xf>
    <xf numFmtId="0" fontId="10" fillId="0" borderId="0" xfId="0" applyFont="1" applyBorder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12" fillId="0" borderId="7" xfId="0" applyFont="1" applyBorder="1" applyAlignment="1" applyProtection="1">
      <alignment horizontal="center"/>
    </xf>
    <xf numFmtId="0" fontId="12" fillId="0" borderId="7" xfId="0" applyFont="1" applyBorder="1" applyProtection="1"/>
    <xf numFmtId="2" fontId="12" fillId="0" borderId="7" xfId="0" applyNumberFormat="1" applyFont="1" applyBorder="1" applyProtection="1"/>
    <xf numFmtId="2" fontId="12" fillId="0" borderId="7" xfId="0" applyNumberFormat="1" applyFont="1" applyFill="1" applyBorder="1" applyProtection="1"/>
    <xf numFmtId="2" fontId="12" fillId="0" borderId="8" xfId="0" applyNumberFormat="1" applyFont="1" applyFill="1" applyBorder="1" applyProtection="1"/>
    <xf numFmtId="164" fontId="0" fillId="2" borderId="0" xfId="0" applyNumberFormat="1" applyFill="1" applyAlignment="1" applyProtection="1">
      <alignment horizontal="center"/>
      <protection locked="0"/>
    </xf>
    <xf numFmtId="164" fontId="12" fillId="0" borderId="7" xfId="0" applyNumberFormat="1" applyFont="1" applyBorder="1" applyProtection="1"/>
    <xf numFmtId="0" fontId="12" fillId="0" borderId="7" xfId="0" applyFont="1" applyFill="1" applyBorder="1" applyProtection="1"/>
    <xf numFmtId="0" fontId="12" fillId="0" borderId="8" xfId="0" applyFont="1" applyFill="1" applyBorder="1" applyProtection="1"/>
    <xf numFmtId="164" fontId="12" fillId="0" borderId="0" xfId="0" applyNumberFormat="1" applyFont="1" applyFill="1" applyBorder="1" applyAlignment="1" applyProtection="1">
      <alignment horizontal="center"/>
    </xf>
    <xf numFmtId="164" fontId="12" fillId="0" borderId="5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2" fontId="13" fillId="0" borderId="2" xfId="0" applyNumberFormat="1" applyFont="1" applyFill="1" applyBorder="1" applyProtection="1"/>
    <xf numFmtId="2" fontId="13" fillId="0" borderId="3" xfId="0" applyNumberFormat="1" applyFont="1" applyFill="1" applyBorder="1" applyProtection="1"/>
    <xf numFmtId="164" fontId="13" fillId="0" borderId="0" xfId="0" applyNumberFormat="1" applyFont="1" applyBorder="1" applyAlignment="1" applyProtection="1">
      <alignment horizontal="center"/>
    </xf>
    <xf numFmtId="164" fontId="13" fillId="0" borderId="0" xfId="0" applyNumberFormat="1" applyFont="1" applyFill="1" applyBorder="1" applyProtection="1"/>
    <xf numFmtId="164" fontId="13" fillId="0" borderId="5" xfId="0" applyNumberFormat="1" applyFont="1" applyFill="1" applyBorder="1" applyProtection="1"/>
    <xf numFmtId="2" fontId="13" fillId="0" borderId="0" xfId="0" applyNumberFormat="1" applyFont="1" applyFill="1" applyBorder="1" applyProtection="1"/>
    <xf numFmtId="2" fontId="13" fillId="0" borderId="5" xfId="0" applyNumberFormat="1" applyFont="1" applyFill="1" applyBorder="1" applyProtection="1"/>
    <xf numFmtId="164" fontId="13" fillId="0" borderId="7" xfId="0" applyNumberFormat="1" applyFont="1" applyFill="1" applyBorder="1" applyAlignment="1" applyProtection="1">
      <alignment horizontal="center"/>
    </xf>
    <xf numFmtId="0" fontId="13" fillId="0" borderId="1" xfId="0" applyFont="1" applyBorder="1" applyProtection="1"/>
    <xf numFmtId="0" fontId="8" fillId="0" borderId="0" xfId="0" applyFont="1" applyFill="1" applyProtection="1"/>
    <xf numFmtId="2" fontId="0" fillId="0" borderId="0" xfId="0" applyNumberFormat="1" applyFont="1" applyFill="1" applyProtection="1"/>
    <xf numFmtId="0" fontId="0" fillId="0" borderId="1" xfId="0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1" fontId="0" fillId="0" borderId="0" xfId="0" applyNumberFormat="1" applyFill="1" applyProtection="1"/>
    <xf numFmtId="0" fontId="12" fillId="0" borderId="4" xfId="0" applyFont="1" applyBorder="1" applyAlignment="1" applyProtection="1"/>
    <xf numFmtId="0" fontId="12" fillId="0" borderId="0" xfId="0" applyFont="1" applyBorder="1" applyAlignment="1" applyProtection="1"/>
    <xf numFmtId="0" fontId="12" fillId="0" borderId="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0" fillId="0" borderId="2" xfId="0" applyFont="1" applyBorder="1" applyAlignment="1" applyProtection="1"/>
    <xf numFmtId="0" fontId="9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1" fillId="0" borderId="0" xfId="0" applyFont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0" fillId="0" borderId="0" xfId="0" applyFont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12" fillId="0" borderId="6" xfId="0" applyFont="1" applyBorder="1" applyAlignment="1" applyProtection="1">
      <alignment horizontal="center"/>
    </xf>
    <xf numFmtId="0" fontId="0" fillId="0" borderId="7" xfId="0" applyBorder="1" applyAlignment="1" applyProtection="1"/>
    <xf numFmtId="0" fontId="0" fillId="0" borderId="2" xfId="0" applyBorder="1" applyAlignment="1" applyProtection="1"/>
    <xf numFmtId="0" fontId="12" fillId="0" borderId="2" xfId="0" applyFont="1" applyBorder="1" applyAlignment="1" applyProtection="1"/>
    <xf numFmtId="0" fontId="13" fillId="0" borderId="4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19023478229605"/>
          <c:y val="9.2190086582293065E-2"/>
          <c:w val="0.73908546363211447"/>
          <c:h val="0.745617145377143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Smågrisprod!$B$29</c:f>
              <c:strCache>
                <c:ptCount val="1"/>
                <c:pt idx="0">
                  <c:v>Rp</c:v>
                </c:pt>
              </c:strCache>
            </c:strRef>
          </c:tx>
          <c:invertIfNegative val="0"/>
          <c:cat>
            <c:strRef>
              <c:f>Smågrisprod!$A$30:$A$33</c:f>
              <c:strCache>
                <c:ptCount val="4"/>
                <c:pt idx="0">
                  <c:v>Sinsuggor</c:v>
                </c:pt>
                <c:pt idx="1">
                  <c:v>Digivande</c:v>
                </c:pt>
                <c:pt idx="2">
                  <c:v>Smågrisar </c:v>
                </c:pt>
                <c:pt idx="3">
                  <c:v>Rekrytering</c:v>
                </c:pt>
              </c:strCache>
            </c:strRef>
          </c:cat>
          <c:val>
            <c:numRef>
              <c:f>Smågrisprod!$B$30:$B$33</c:f>
              <c:numCache>
                <c:formatCode>0</c:formatCode>
                <c:ptCount val="4"/>
                <c:pt idx="0">
                  <c:v>104.83870967741935</c:v>
                </c:pt>
                <c:pt idx="1">
                  <c:v>107.14285714285714</c:v>
                </c:pt>
                <c:pt idx="2">
                  <c:v>104.97237569060773</c:v>
                </c:pt>
                <c:pt idx="3">
                  <c:v>104.02684563758389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A-4F3A-A345-A1D83DAB2B6B}"/>
            </c:ext>
          </c:extLst>
        </c:ser>
        <c:ser>
          <c:idx val="1"/>
          <c:order val="1"/>
          <c:tx>
            <c:strRef>
              <c:f>Smågrisprod!$C$29</c:f>
              <c:strCache>
                <c:ptCount val="1"/>
                <c:pt idx="0">
                  <c:v>P</c:v>
                </c:pt>
              </c:strCache>
            </c:strRef>
          </c:tx>
          <c:invertIfNegative val="0"/>
          <c:cat>
            <c:strRef>
              <c:f>Smågrisprod!$A$30:$A$33</c:f>
              <c:strCache>
                <c:ptCount val="4"/>
                <c:pt idx="0">
                  <c:v>Sinsuggor</c:v>
                </c:pt>
                <c:pt idx="1">
                  <c:v>Digivande</c:v>
                </c:pt>
                <c:pt idx="2">
                  <c:v>Smågrisar </c:v>
                </c:pt>
                <c:pt idx="3">
                  <c:v>Rekrytering</c:v>
                </c:pt>
              </c:strCache>
            </c:strRef>
          </c:cat>
          <c:val>
            <c:numRef>
              <c:f>Smågrisprod!$C$30:$C$33</c:f>
              <c:numCache>
                <c:formatCode>0</c:formatCode>
                <c:ptCount val="4"/>
                <c:pt idx="0">
                  <c:v>108.10810810810811</c:v>
                </c:pt>
                <c:pt idx="1">
                  <c:v>108.69565217391303</c:v>
                </c:pt>
                <c:pt idx="2">
                  <c:v>109.09090909090908</c:v>
                </c:pt>
                <c:pt idx="3">
                  <c:v>116.27906976744187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4A-4F3A-A345-A1D83DAB2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41952"/>
        <c:axId val="46724608"/>
      </c:barChart>
      <c:catAx>
        <c:axId val="4574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724608"/>
        <c:crosses val="autoZero"/>
        <c:auto val="1"/>
        <c:lblAlgn val="ctr"/>
        <c:lblOffset val="100"/>
        <c:noMultiLvlLbl val="0"/>
      </c:catAx>
      <c:valAx>
        <c:axId val="46724608"/>
        <c:scaling>
          <c:orientation val="minMax"/>
          <c:min val="5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5741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'Poolsugga di 3v'!$A$24</c:f>
              <c:strCache>
                <c:ptCount val="1"/>
                <c:pt idx="0">
                  <c:v>Suggor</c:v>
                </c:pt>
              </c:strCache>
            </c:strRef>
          </c:tx>
          <c:invertIfNegative val="0"/>
          <c:cat>
            <c:strRef>
              <c:f>'Poolsugga di 3v'!$B$23:$C$23</c:f>
              <c:strCache>
                <c:ptCount val="2"/>
                <c:pt idx="0">
                  <c:v>Rp</c:v>
                </c:pt>
                <c:pt idx="1">
                  <c:v>P</c:v>
                </c:pt>
              </c:strCache>
            </c:strRef>
          </c:cat>
          <c:val>
            <c:numRef>
              <c:f>'Poolsugga di 3v'!$B$24:$C$24</c:f>
              <c:numCache>
                <c:formatCode>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E-4C64-B055-6C8B567AA092}"/>
            </c:ext>
          </c:extLst>
        </c:ser>
        <c:ser>
          <c:idx val="1"/>
          <c:order val="1"/>
          <c:tx>
            <c:strRef>
              <c:f>'Poolsugga di 3v'!$A$25</c:f>
              <c:strCache>
                <c:ptCount val="1"/>
                <c:pt idx="0">
                  <c:v>Smågrisar</c:v>
                </c:pt>
              </c:strCache>
            </c:strRef>
          </c:tx>
          <c:invertIfNegative val="0"/>
          <c:cat>
            <c:strRef>
              <c:f>'Poolsugga di 3v'!$B$23:$C$23</c:f>
              <c:strCache>
                <c:ptCount val="2"/>
                <c:pt idx="0">
                  <c:v>Rp</c:v>
                </c:pt>
                <c:pt idx="1">
                  <c:v>P</c:v>
                </c:pt>
              </c:strCache>
            </c:strRef>
          </c:cat>
          <c:val>
            <c:numRef>
              <c:f>'Poolsugga di 3v'!$B$25:$C$25</c:f>
              <c:numCache>
                <c:formatCode>0</c:formatCode>
                <c:ptCount val="2"/>
                <c:pt idx="0">
                  <c:v>100</c:v>
                </c:pt>
                <c:pt idx="1">
                  <c:v>109.09090909090908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0E-4C64-B055-6C8B567AA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60416"/>
        <c:axId val="45662208"/>
      </c:barChart>
      <c:catAx>
        <c:axId val="4566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662208"/>
        <c:crosses val="autoZero"/>
        <c:auto val="1"/>
        <c:lblAlgn val="ctr"/>
        <c:lblOffset val="100"/>
        <c:noMultiLvlLbl val="0"/>
      </c:catAx>
      <c:valAx>
        <c:axId val="45662208"/>
        <c:scaling>
          <c:orientation val="minMax"/>
          <c:min val="5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5660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'Poolsugga di 7v'!$A$24</c:f>
              <c:strCache>
                <c:ptCount val="1"/>
                <c:pt idx="0">
                  <c:v>Suggor</c:v>
                </c:pt>
              </c:strCache>
            </c:strRef>
          </c:tx>
          <c:invertIfNegative val="0"/>
          <c:cat>
            <c:strRef>
              <c:f>'Poolsugga di 7v'!$B$23:$C$23</c:f>
              <c:strCache>
                <c:ptCount val="2"/>
                <c:pt idx="0">
                  <c:v>Rp</c:v>
                </c:pt>
                <c:pt idx="1">
                  <c:v>P</c:v>
                </c:pt>
              </c:strCache>
            </c:strRef>
          </c:cat>
          <c:val>
            <c:numRef>
              <c:f>'Poolsugga di 7v'!$B$24:$C$24</c:f>
              <c:numCache>
                <c:formatCode>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6-4E37-AD61-F2DD36643330}"/>
            </c:ext>
          </c:extLst>
        </c:ser>
        <c:ser>
          <c:idx val="1"/>
          <c:order val="1"/>
          <c:tx>
            <c:strRef>
              <c:f>'Poolsugga di 7v'!$A$25</c:f>
              <c:strCache>
                <c:ptCount val="1"/>
                <c:pt idx="0">
                  <c:v>Smågrisar</c:v>
                </c:pt>
              </c:strCache>
            </c:strRef>
          </c:tx>
          <c:invertIfNegative val="0"/>
          <c:cat>
            <c:strRef>
              <c:f>'Poolsugga di 7v'!$B$23:$C$23</c:f>
              <c:strCache>
                <c:ptCount val="2"/>
                <c:pt idx="0">
                  <c:v>Rp</c:v>
                </c:pt>
                <c:pt idx="1">
                  <c:v>P</c:v>
                </c:pt>
              </c:strCache>
            </c:strRef>
          </c:cat>
          <c:val>
            <c:numRef>
              <c:f>'Poolsugga di 7v'!$B$25:$C$25</c:f>
              <c:numCache>
                <c:formatCode>0</c:formatCode>
                <c:ptCount val="2"/>
                <c:pt idx="0">
                  <c:v>104.97237569060773</c:v>
                </c:pt>
                <c:pt idx="1">
                  <c:v>109.09090909090908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6-4E37-AD61-F2DD36643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17952"/>
        <c:axId val="53564160"/>
      </c:barChart>
      <c:catAx>
        <c:axId val="46717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3564160"/>
        <c:crosses val="autoZero"/>
        <c:auto val="1"/>
        <c:lblAlgn val="ctr"/>
        <c:lblOffset val="100"/>
        <c:noMultiLvlLbl val="0"/>
      </c:catAx>
      <c:valAx>
        <c:axId val="53564160"/>
        <c:scaling>
          <c:orientation val="minMax"/>
          <c:min val="5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671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'Poolsugga sin3v'!$A$24</c:f>
              <c:strCache>
                <c:ptCount val="1"/>
                <c:pt idx="0">
                  <c:v>Suggor</c:v>
                </c:pt>
              </c:strCache>
            </c:strRef>
          </c:tx>
          <c:invertIfNegative val="0"/>
          <c:cat>
            <c:strRef>
              <c:f>'Poolsugga sin3v'!$B$23:$C$23</c:f>
              <c:strCache>
                <c:ptCount val="2"/>
                <c:pt idx="0">
                  <c:v>Rp</c:v>
                </c:pt>
                <c:pt idx="1">
                  <c:v>P</c:v>
                </c:pt>
              </c:strCache>
            </c:strRef>
          </c:cat>
          <c:val>
            <c:numRef>
              <c:f>'Poolsugga sin3v'!$B$24:$C$24</c:f>
              <c:numCache>
                <c:formatCode>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5-4DBA-883E-7987E15FC8ED}"/>
            </c:ext>
          </c:extLst>
        </c:ser>
        <c:ser>
          <c:idx val="1"/>
          <c:order val="1"/>
          <c:tx>
            <c:strRef>
              <c:f>'Poolsugga sin3v'!$A$25</c:f>
              <c:strCache>
                <c:ptCount val="1"/>
                <c:pt idx="0">
                  <c:v>Rekrytering</c:v>
                </c:pt>
              </c:strCache>
            </c:strRef>
          </c:tx>
          <c:invertIfNegative val="0"/>
          <c:cat>
            <c:strRef>
              <c:f>'Poolsugga sin3v'!$B$23:$C$23</c:f>
              <c:strCache>
                <c:ptCount val="2"/>
                <c:pt idx="0">
                  <c:v>Rp</c:v>
                </c:pt>
                <c:pt idx="1">
                  <c:v>P</c:v>
                </c:pt>
              </c:strCache>
            </c:strRef>
          </c:cat>
          <c:val>
            <c:numRef>
              <c:f>'Poolsugga sin3v'!$B$25:$C$25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95-4DBA-883E-7987E15FC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20640"/>
        <c:axId val="66330624"/>
      </c:barChart>
      <c:catAx>
        <c:axId val="6632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330624"/>
        <c:crosses val="autoZero"/>
        <c:auto val="1"/>
        <c:lblAlgn val="ctr"/>
        <c:lblOffset val="100"/>
        <c:noMultiLvlLbl val="0"/>
      </c:catAx>
      <c:valAx>
        <c:axId val="66330624"/>
        <c:scaling>
          <c:orientation val="minMax"/>
          <c:min val="6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6320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59400689947926"/>
          <c:y val="8.4349652466414654E-2"/>
          <c:w val="0.65984610693594958"/>
          <c:h val="0.72532433775993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'Poolsugga sin7v'!$A$22</c:f>
              <c:strCache>
                <c:ptCount val="1"/>
                <c:pt idx="0">
                  <c:v>Suggor</c:v>
                </c:pt>
              </c:strCache>
            </c:strRef>
          </c:tx>
          <c:invertIfNegative val="0"/>
          <c:cat>
            <c:strRef>
              <c:f>'Poolsugga sin7v'!$B$21:$C$21</c:f>
              <c:strCache>
                <c:ptCount val="2"/>
                <c:pt idx="0">
                  <c:v>Rp</c:v>
                </c:pt>
                <c:pt idx="1">
                  <c:v>P</c:v>
                </c:pt>
              </c:strCache>
            </c:strRef>
          </c:cat>
          <c:val>
            <c:numRef>
              <c:f>'Poolsugga sin7v'!$B$22:$C$22</c:f>
              <c:numCache>
                <c:formatCode>0</c:formatCode>
                <c:ptCount val="2"/>
                <c:pt idx="0">
                  <c:v>103.2258064516129</c:v>
                </c:pt>
                <c:pt idx="1">
                  <c:v>105.40540540540542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1A-4D0C-9324-D678D006B4B1}"/>
            </c:ext>
          </c:extLst>
        </c:ser>
        <c:ser>
          <c:idx val="1"/>
          <c:order val="1"/>
          <c:tx>
            <c:strRef>
              <c:f>'Poolsugga sin7v'!$A$23</c:f>
              <c:strCache>
                <c:ptCount val="1"/>
                <c:pt idx="0">
                  <c:v>Rekrytering</c:v>
                </c:pt>
              </c:strCache>
            </c:strRef>
          </c:tx>
          <c:invertIfNegative val="0"/>
          <c:cat>
            <c:strRef>
              <c:f>'Poolsugga sin7v'!$B$21:$C$21</c:f>
              <c:strCache>
                <c:ptCount val="2"/>
                <c:pt idx="0">
                  <c:v>Rp</c:v>
                </c:pt>
                <c:pt idx="1">
                  <c:v>P</c:v>
                </c:pt>
              </c:strCache>
            </c:strRef>
          </c:cat>
          <c:val>
            <c:numRef>
              <c:f>'Poolsugga sin7v'!$B$23:$C$23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1A-4D0C-9324-D678D006B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69728"/>
        <c:axId val="88571264"/>
      </c:barChart>
      <c:catAx>
        <c:axId val="8856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571264"/>
        <c:crosses val="autoZero"/>
        <c:auto val="1"/>
        <c:lblAlgn val="ctr"/>
        <c:lblOffset val="100"/>
        <c:noMultiLvlLbl val="0"/>
      </c:catAx>
      <c:valAx>
        <c:axId val="88571264"/>
        <c:scaling>
          <c:orientation val="minMax"/>
          <c:min val="6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569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Slaktgrisar!$A$23</c:f>
              <c:strCache>
                <c:ptCount val="1"/>
                <c:pt idx="0">
                  <c:v>Slaktgrisar</c:v>
                </c:pt>
              </c:strCache>
            </c:strRef>
          </c:tx>
          <c:invertIfNegative val="0"/>
          <c:cat>
            <c:strRef>
              <c:f>Slaktgrisar!$B$22:$C$22</c:f>
              <c:strCache>
                <c:ptCount val="2"/>
                <c:pt idx="0">
                  <c:v>Rp</c:v>
                </c:pt>
                <c:pt idx="1">
                  <c:v>P</c:v>
                </c:pt>
              </c:strCache>
            </c:strRef>
          </c:cat>
          <c:val>
            <c:numRef>
              <c:f>Slaktgrisar!$B$23:$C$23</c:f>
              <c:numCache>
                <c:formatCode>0</c:formatCode>
                <c:ptCount val="2"/>
                <c:pt idx="0">
                  <c:v>104.69798657718121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9-4A21-B915-ED11D8C04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3360"/>
        <c:axId val="93824896"/>
      </c:barChart>
      <c:catAx>
        <c:axId val="9382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824896"/>
        <c:crosses val="autoZero"/>
        <c:auto val="1"/>
        <c:lblAlgn val="ctr"/>
        <c:lblOffset val="100"/>
        <c:noMultiLvlLbl val="0"/>
      </c:catAx>
      <c:valAx>
        <c:axId val="93824896"/>
        <c:scaling>
          <c:orientation val="minMax"/>
          <c:min val="6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823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19023478229605"/>
          <c:y val="9.2190086582293065E-2"/>
          <c:w val="0.73908546363211447"/>
          <c:h val="0.745617145377143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'Integrerad produktion'!$B$29</c:f>
              <c:strCache>
                <c:ptCount val="1"/>
                <c:pt idx="0">
                  <c:v>Rp</c:v>
                </c:pt>
              </c:strCache>
            </c:strRef>
          </c:tx>
          <c:invertIfNegative val="0"/>
          <c:cat>
            <c:strRef>
              <c:f>'Integrerad produktion'!$A$30:$A$34</c:f>
              <c:strCache>
                <c:ptCount val="5"/>
                <c:pt idx="0">
                  <c:v>Sinsuggor</c:v>
                </c:pt>
                <c:pt idx="1">
                  <c:v>Digivande</c:v>
                </c:pt>
                <c:pt idx="2">
                  <c:v>Smågrisar </c:v>
                </c:pt>
                <c:pt idx="3">
                  <c:v>Rekrytering</c:v>
                </c:pt>
                <c:pt idx="4">
                  <c:v>Slaktgrisar</c:v>
                </c:pt>
              </c:strCache>
            </c:strRef>
          </c:cat>
          <c:val>
            <c:numRef>
              <c:f>'Integrerad produktion'!$B$30:$B$34</c:f>
              <c:numCache>
                <c:formatCode>0</c:formatCode>
                <c:ptCount val="5"/>
                <c:pt idx="0">
                  <c:v>104.83870967741935</c:v>
                </c:pt>
                <c:pt idx="1">
                  <c:v>107.14285714285714</c:v>
                </c:pt>
                <c:pt idx="2">
                  <c:v>104.97237569060773</c:v>
                </c:pt>
                <c:pt idx="3">
                  <c:v>104.02684563758389</c:v>
                </c:pt>
                <c:pt idx="4">
                  <c:v>104.69798657718121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3-4CF5-B98E-3506BB2363AA}"/>
            </c:ext>
          </c:extLst>
        </c:ser>
        <c:ser>
          <c:idx val="1"/>
          <c:order val="1"/>
          <c:tx>
            <c:strRef>
              <c:f>'Integrerad produktion'!$C$29</c:f>
              <c:strCache>
                <c:ptCount val="1"/>
                <c:pt idx="0">
                  <c:v>P</c:v>
                </c:pt>
              </c:strCache>
            </c:strRef>
          </c:tx>
          <c:invertIfNegative val="0"/>
          <c:cat>
            <c:strRef>
              <c:f>'Integrerad produktion'!$A$30:$A$34</c:f>
              <c:strCache>
                <c:ptCount val="5"/>
                <c:pt idx="0">
                  <c:v>Sinsuggor</c:v>
                </c:pt>
                <c:pt idx="1">
                  <c:v>Digivande</c:v>
                </c:pt>
                <c:pt idx="2">
                  <c:v>Smågrisar </c:v>
                </c:pt>
                <c:pt idx="3">
                  <c:v>Rekrytering</c:v>
                </c:pt>
                <c:pt idx="4">
                  <c:v>Slaktgrisar</c:v>
                </c:pt>
              </c:strCache>
            </c:strRef>
          </c:cat>
          <c:val>
            <c:numRef>
              <c:f>'Integrerad produktion'!$C$30:$C$34</c:f>
              <c:numCache>
                <c:formatCode>0</c:formatCode>
                <c:ptCount val="5"/>
                <c:pt idx="0">
                  <c:v>108.10810810810811</c:v>
                </c:pt>
                <c:pt idx="1">
                  <c:v>108.69565217391303</c:v>
                </c:pt>
                <c:pt idx="2">
                  <c:v>109.09090909090908</c:v>
                </c:pt>
                <c:pt idx="3">
                  <c:v>116.27906976744187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43-4CF5-B98E-3506BB236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95744"/>
        <c:axId val="87697280"/>
      </c:barChart>
      <c:catAx>
        <c:axId val="8769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697280"/>
        <c:crosses val="autoZero"/>
        <c:auto val="1"/>
        <c:lblAlgn val="ctr"/>
        <c:lblOffset val="100"/>
        <c:noMultiLvlLbl val="0"/>
      </c:catAx>
      <c:valAx>
        <c:axId val="87697280"/>
        <c:scaling>
          <c:orientation val="minMax"/>
          <c:min val="6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7695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28</xdr:row>
      <xdr:rowOff>33337</xdr:rowOff>
    </xdr:from>
    <xdr:to>
      <xdr:col>10</xdr:col>
      <xdr:colOff>0</xdr:colOff>
      <xdr:row>37</xdr:row>
      <xdr:rowOff>123825</xdr:rowOff>
    </xdr:to>
    <xdr:graphicFrame macro="">
      <xdr:nvGraphicFramePr>
        <xdr:cNvPr id="2" name="Diagram 1" descr="Diagram över % avvikelse av Rp och P i fodret från riktvärd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74239</xdr:colOff>
      <xdr:row>29</xdr:row>
      <xdr:rowOff>80755</xdr:rowOff>
    </xdr:from>
    <xdr:to>
      <xdr:col>11</xdr:col>
      <xdr:colOff>325812</xdr:colOff>
      <xdr:row>30</xdr:row>
      <xdr:rowOff>43070</xdr:rowOff>
    </xdr:to>
    <xdr:sp macro="" textlink="">
      <xdr:nvSpPr>
        <xdr:cNvPr id="3" name="Ned 2" descr="Pil mot diagrammet">
          <a:extLst>
            <a:ext uri="{FF2B5EF4-FFF2-40B4-BE49-F238E27FC236}">
              <a16:creationId xmlns:a16="http://schemas.microsoft.com/office/drawing/2014/main" id="{00000000-0008-0000-0000-000003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SpPr/>
      </xdr:nvSpPr>
      <xdr:spPr>
        <a:xfrm rot="4996427">
          <a:off x="7948405" y="5474914"/>
          <a:ext cx="152815" cy="73734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11</xdr:col>
      <xdr:colOff>400050</xdr:colOff>
      <xdr:row>28</xdr:row>
      <xdr:rowOff>19050</xdr:rowOff>
    </xdr:from>
    <xdr:ext cx="2140779" cy="468077"/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67725" y="5514975"/>
          <a:ext cx="2140779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200" b="1">
              <a:solidFill>
                <a:srgbClr val="FF0000"/>
              </a:solidFill>
            </a:rPr>
            <a:t>Staplar över 100 indikerar </a:t>
          </a:r>
        </a:p>
        <a:p>
          <a:r>
            <a:rPr lang="sv-SE" sz="1200" b="1">
              <a:solidFill>
                <a:srgbClr val="FF0000"/>
              </a:solidFill>
            </a:rPr>
            <a:t>onödigt högt innehåll i fodret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514351</xdr:colOff>
      <xdr:row>22</xdr:row>
      <xdr:rowOff>95250</xdr:rowOff>
    </xdr:from>
    <xdr:to>
      <xdr:col>8</xdr:col>
      <xdr:colOff>476251</xdr:colOff>
      <xdr:row>30</xdr:row>
      <xdr:rowOff>104776</xdr:rowOff>
    </xdr:to>
    <xdr:graphicFrame macro="">
      <xdr:nvGraphicFramePr>
        <xdr:cNvPr id="3" name="Diagram 2" descr="Diagram över % avvikelse av Rp och P i fodret från riktvärde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23</xdr:row>
      <xdr:rowOff>0</xdr:rowOff>
    </xdr:from>
    <xdr:to>
      <xdr:col>10</xdr:col>
      <xdr:colOff>146798</xdr:colOff>
      <xdr:row>23</xdr:row>
      <xdr:rowOff>152815</xdr:rowOff>
    </xdr:to>
    <xdr:sp macro="" textlink="">
      <xdr:nvSpPr>
        <xdr:cNvPr id="4" name="Ned 3" descr="Pil mot diagrammet">
          <a:extLst>
            <a:ext uri="{FF2B5EF4-FFF2-40B4-BE49-F238E27FC236}">
              <a16:creationId xmlns:a16="http://schemas.microsoft.com/office/drawing/2014/main" id="{00000000-0008-0000-0100-000004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SpPr/>
      </xdr:nvSpPr>
      <xdr:spPr>
        <a:xfrm rot="4996427">
          <a:off x="7512216" y="4184484"/>
          <a:ext cx="152815" cy="73734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10</xdr:col>
      <xdr:colOff>228600</xdr:colOff>
      <xdr:row>22</xdr:row>
      <xdr:rowOff>0</xdr:rowOff>
    </xdr:from>
    <xdr:ext cx="2140779" cy="468077"/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039100" y="4286250"/>
          <a:ext cx="2140779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200" b="1">
              <a:solidFill>
                <a:srgbClr val="FF0000"/>
              </a:solidFill>
            </a:rPr>
            <a:t>Staplar över 100 indikerar </a:t>
          </a:r>
        </a:p>
        <a:p>
          <a:r>
            <a:rPr lang="sv-SE" sz="1200" b="1">
              <a:solidFill>
                <a:srgbClr val="FF0000"/>
              </a:solidFill>
            </a:rPr>
            <a:t>onödigt högt innehåll i fodret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22</xdr:row>
      <xdr:rowOff>95250</xdr:rowOff>
    </xdr:from>
    <xdr:to>
      <xdr:col>9</xdr:col>
      <xdr:colOff>476249</xdr:colOff>
      <xdr:row>32</xdr:row>
      <xdr:rowOff>152400</xdr:rowOff>
    </xdr:to>
    <xdr:graphicFrame macro="">
      <xdr:nvGraphicFramePr>
        <xdr:cNvPr id="2" name="Diagram 1" descr="Diagram över % avvikelse av Rp och P i fodret från riktvärde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590550</xdr:colOff>
      <xdr:row>23</xdr:row>
      <xdr:rowOff>114300</xdr:rowOff>
    </xdr:from>
    <xdr:to>
      <xdr:col>11</xdr:col>
      <xdr:colOff>108698</xdr:colOff>
      <xdr:row>24</xdr:row>
      <xdr:rowOff>76615</xdr:rowOff>
    </xdr:to>
    <xdr:sp macro="" textlink="">
      <xdr:nvSpPr>
        <xdr:cNvPr id="3" name="Ned 2" descr="Pil mot diagrammet">
          <a:extLst>
            <a:ext uri="{FF2B5EF4-FFF2-40B4-BE49-F238E27FC236}">
              <a16:creationId xmlns:a16="http://schemas.microsoft.com/office/drawing/2014/main" id="{00000000-0008-0000-0200-000003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SpPr/>
      </xdr:nvSpPr>
      <xdr:spPr>
        <a:xfrm rot="4996427">
          <a:off x="8083716" y="4365459"/>
          <a:ext cx="152815" cy="73734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11</xdr:col>
      <xdr:colOff>238125</xdr:colOff>
      <xdr:row>22</xdr:row>
      <xdr:rowOff>28575</xdr:rowOff>
    </xdr:from>
    <xdr:ext cx="2140779" cy="468077"/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658225" y="4381500"/>
          <a:ext cx="2140779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200" b="1">
              <a:solidFill>
                <a:srgbClr val="FF0000"/>
              </a:solidFill>
            </a:rPr>
            <a:t>Staplar över 100 indikerar </a:t>
          </a:r>
        </a:p>
        <a:p>
          <a:r>
            <a:rPr lang="sv-SE" sz="1200" b="1">
              <a:solidFill>
                <a:srgbClr val="FF0000"/>
              </a:solidFill>
            </a:rPr>
            <a:t>onödigt högt innehåll i fodret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23812</xdr:rowOff>
    </xdr:from>
    <xdr:to>
      <xdr:col>11</xdr:col>
      <xdr:colOff>514350</xdr:colOff>
      <xdr:row>30</xdr:row>
      <xdr:rowOff>114300</xdr:rowOff>
    </xdr:to>
    <xdr:graphicFrame macro="">
      <xdr:nvGraphicFramePr>
        <xdr:cNvPr id="2" name="Diagram 1" descr="Diagram över % avvikelse av Rp och P i fodret från riktvärde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22</xdr:row>
      <xdr:rowOff>0</xdr:rowOff>
    </xdr:from>
    <xdr:ext cx="2140779" cy="468077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382125" y="4295775"/>
          <a:ext cx="2140779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200" b="1">
              <a:solidFill>
                <a:srgbClr val="FF0000"/>
              </a:solidFill>
            </a:rPr>
            <a:t>Staplar över 100 indikerar </a:t>
          </a:r>
        </a:p>
        <a:p>
          <a:r>
            <a:rPr lang="sv-SE" sz="1200" b="1">
              <a:solidFill>
                <a:srgbClr val="FF0000"/>
              </a:solidFill>
            </a:rPr>
            <a:t>onödigt högt innehåll i fodret</a:t>
          </a:r>
        </a:p>
      </xdr:txBody>
    </xdr:sp>
    <xdr:clientData/>
  </xdr:oneCellAnchor>
  <xdr:twoCellAnchor>
    <xdr:from>
      <xdr:col>11</xdr:col>
      <xdr:colOff>161924</xdr:colOff>
      <xdr:row>23</xdr:row>
      <xdr:rowOff>66675</xdr:rowOff>
    </xdr:from>
    <xdr:to>
      <xdr:col>12</xdr:col>
      <xdr:colOff>156322</xdr:colOff>
      <xdr:row>24</xdr:row>
      <xdr:rowOff>28990</xdr:rowOff>
    </xdr:to>
    <xdr:sp macro="" textlink="">
      <xdr:nvSpPr>
        <xdr:cNvPr id="4" name="Ned 3" descr="Pil mot diagrammet">
          <a:extLst>
            <a:ext uri="{FF2B5EF4-FFF2-40B4-BE49-F238E27FC236}">
              <a16:creationId xmlns:a16="http://schemas.microsoft.com/office/drawing/2014/main" id="{00000000-0008-0000-0300-000004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SpPr/>
      </xdr:nvSpPr>
      <xdr:spPr>
        <a:xfrm rot="4996427">
          <a:off x="8845715" y="4260684"/>
          <a:ext cx="152815" cy="73734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295274</xdr:colOff>
      <xdr:row>19</xdr:row>
      <xdr:rowOff>190499</xdr:rowOff>
    </xdr:from>
    <xdr:to>
      <xdr:col>10</xdr:col>
      <xdr:colOff>209549</xdr:colOff>
      <xdr:row>28</xdr:row>
      <xdr:rowOff>138111</xdr:rowOff>
    </xdr:to>
    <xdr:graphicFrame macro="">
      <xdr:nvGraphicFramePr>
        <xdr:cNvPr id="2" name="Diagram 1" descr="Diagram över % avvikelse av Rp och P i fodret från riktvärde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190500</xdr:colOff>
      <xdr:row>19</xdr:row>
      <xdr:rowOff>180975</xdr:rowOff>
    </xdr:from>
    <xdr:ext cx="2140779" cy="468077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924925" y="3895725"/>
          <a:ext cx="2140779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200" b="1">
              <a:solidFill>
                <a:srgbClr val="FF0000"/>
              </a:solidFill>
            </a:rPr>
            <a:t>Staplar över 100 indikerar </a:t>
          </a:r>
        </a:p>
        <a:p>
          <a:r>
            <a:rPr lang="sv-SE" sz="1200" b="1">
              <a:solidFill>
                <a:srgbClr val="FF0000"/>
              </a:solidFill>
            </a:rPr>
            <a:t>onödigt högt innehåll i fodret</a:t>
          </a:r>
        </a:p>
      </xdr:txBody>
    </xdr:sp>
    <xdr:clientData/>
  </xdr:oneCellAnchor>
  <xdr:twoCellAnchor>
    <xdr:from>
      <xdr:col>10</xdr:col>
      <xdr:colOff>0</xdr:colOff>
      <xdr:row>21</xdr:row>
      <xdr:rowOff>19050</xdr:rowOff>
    </xdr:from>
    <xdr:to>
      <xdr:col>11</xdr:col>
      <xdr:colOff>127748</xdr:colOff>
      <xdr:row>21</xdr:row>
      <xdr:rowOff>171865</xdr:rowOff>
    </xdr:to>
    <xdr:sp macro="" textlink="">
      <xdr:nvSpPr>
        <xdr:cNvPr id="4" name="Ned 3" descr="Pil mot diagrammet">
          <a:extLst>
            <a:ext uri="{FF2B5EF4-FFF2-40B4-BE49-F238E27FC236}">
              <a16:creationId xmlns:a16="http://schemas.microsoft.com/office/drawing/2014/main" id="{00000000-0008-0000-0400-000004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SpPr/>
      </xdr:nvSpPr>
      <xdr:spPr>
        <a:xfrm rot="4996427">
          <a:off x="8417091" y="3832059"/>
          <a:ext cx="152815" cy="73734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21</xdr:row>
      <xdr:rowOff>71437</xdr:rowOff>
    </xdr:from>
    <xdr:to>
      <xdr:col>8</xdr:col>
      <xdr:colOff>895350</xdr:colOff>
      <xdr:row>32</xdr:row>
      <xdr:rowOff>19050</xdr:rowOff>
    </xdr:to>
    <xdr:graphicFrame macro="">
      <xdr:nvGraphicFramePr>
        <xdr:cNvPr id="2" name="Diagram 1" descr="Diagram över % avvikelse av Rp och P i fodret från riktvärde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19050</xdr:colOff>
      <xdr:row>23</xdr:row>
      <xdr:rowOff>123825</xdr:rowOff>
    </xdr:from>
    <xdr:ext cx="2140779" cy="468077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248650" y="4657725"/>
          <a:ext cx="2140779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200" b="1">
              <a:solidFill>
                <a:srgbClr val="FF0000"/>
              </a:solidFill>
            </a:rPr>
            <a:t>Staplar över 100 indikerar </a:t>
          </a:r>
        </a:p>
        <a:p>
          <a:r>
            <a:rPr lang="sv-SE" sz="1200" b="1">
              <a:solidFill>
                <a:srgbClr val="FF0000"/>
              </a:solidFill>
            </a:rPr>
            <a:t>onödigt högt innehåll i fodret</a:t>
          </a:r>
        </a:p>
      </xdr:txBody>
    </xdr:sp>
    <xdr:clientData/>
  </xdr:oneCellAnchor>
  <xdr:twoCellAnchor>
    <xdr:from>
      <xdr:col>8</xdr:col>
      <xdr:colOff>733425</xdr:colOff>
      <xdr:row>24</xdr:row>
      <xdr:rowOff>95250</xdr:rowOff>
    </xdr:from>
    <xdr:to>
      <xdr:col>9</xdr:col>
      <xdr:colOff>308723</xdr:colOff>
      <xdr:row>25</xdr:row>
      <xdr:rowOff>57565</xdr:rowOff>
    </xdr:to>
    <xdr:sp macro="" textlink="">
      <xdr:nvSpPr>
        <xdr:cNvPr id="4" name="Ned 3" descr="Pil mot diagrammet">
          <a:extLst>
            <a:ext uri="{FF2B5EF4-FFF2-40B4-BE49-F238E27FC236}">
              <a16:creationId xmlns:a16="http://schemas.microsoft.com/office/drawing/2014/main" id="{00000000-0008-0000-0500-000004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SpPr/>
      </xdr:nvSpPr>
      <xdr:spPr>
        <a:xfrm rot="4996427">
          <a:off x="7483641" y="4527384"/>
          <a:ext cx="152815" cy="73734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28</xdr:row>
      <xdr:rowOff>33337</xdr:rowOff>
    </xdr:from>
    <xdr:to>
      <xdr:col>11</xdr:col>
      <xdr:colOff>85725</xdr:colOff>
      <xdr:row>37</xdr:row>
      <xdr:rowOff>114300</xdr:rowOff>
    </xdr:to>
    <xdr:graphicFrame macro="">
      <xdr:nvGraphicFramePr>
        <xdr:cNvPr id="2" name="Diagram 1" descr="Diagram över % avvikelse av Rp och P i fodret från riktvärde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455238</xdr:colOff>
      <xdr:row>29</xdr:row>
      <xdr:rowOff>137906</xdr:rowOff>
    </xdr:from>
    <xdr:to>
      <xdr:col>11</xdr:col>
      <xdr:colOff>706811</xdr:colOff>
      <xdr:row>30</xdr:row>
      <xdr:rowOff>100221</xdr:rowOff>
    </xdr:to>
    <xdr:sp macro="" textlink="">
      <xdr:nvSpPr>
        <xdr:cNvPr id="3" name="Ned 2" descr="Pil mot diagrammet">
          <a:extLst>
            <a:ext uri="{FF2B5EF4-FFF2-40B4-BE49-F238E27FC236}">
              <a16:creationId xmlns:a16="http://schemas.microsoft.com/office/drawing/2014/main" id="{00000000-0008-0000-0600-000003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SpPr/>
      </xdr:nvSpPr>
      <xdr:spPr>
        <a:xfrm rot="4996427">
          <a:off x="8329404" y="5570165"/>
          <a:ext cx="152815" cy="73734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12</xdr:col>
      <xdr:colOff>171450</xdr:colOff>
      <xdr:row>28</xdr:row>
      <xdr:rowOff>95250</xdr:rowOff>
    </xdr:from>
    <xdr:ext cx="2140779" cy="468077"/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8982075" y="5629275"/>
          <a:ext cx="2140779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200" b="1">
              <a:solidFill>
                <a:srgbClr val="FF0000"/>
              </a:solidFill>
            </a:rPr>
            <a:t>Staplar över 100 indikerar </a:t>
          </a:r>
        </a:p>
        <a:p>
          <a:r>
            <a:rPr lang="sv-SE" sz="1200" b="1">
              <a:solidFill>
                <a:srgbClr val="FF0000"/>
              </a:solidFill>
            </a:rPr>
            <a:t>onödigt högt innehåll i fodret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36"/>
  <sheetViews>
    <sheetView tabSelected="1" topLeftCell="D18" workbookViewId="0">
      <selection activeCell="C29" sqref="C29"/>
    </sheetView>
  </sheetViews>
  <sheetFormatPr defaultColWidth="9.109375" defaultRowHeight="14.4" x14ac:dyDescent="0.3"/>
  <cols>
    <col min="1" max="1" width="23.44140625" style="1" customWidth="1"/>
    <col min="2" max="2" width="13.88671875" style="1" customWidth="1"/>
    <col min="3" max="3" width="12.44140625" style="1" customWidth="1"/>
    <col min="4" max="10" width="9.109375" style="1"/>
    <col min="11" max="11" width="7.33203125" style="1" customWidth="1"/>
    <col min="12" max="12" width="11.109375" style="1" customWidth="1"/>
    <col min="13" max="14" width="9.109375" style="2"/>
    <col min="15" max="15" width="5.88671875" style="2" customWidth="1"/>
    <col min="16" max="16" width="6" style="2" customWidth="1"/>
    <col min="17" max="17" width="6" style="3" customWidth="1"/>
    <col min="18" max="18" width="9.109375" style="2"/>
    <col min="19" max="16384" width="9.109375" style="1"/>
  </cols>
  <sheetData>
    <row r="1" spans="1:40" ht="18" x14ac:dyDescent="0.35">
      <c r="A1" s="19" t="s">
        <v>0</v>
      </c>
      <c r="B1" s="19"/>
      <c r="C1" s="19"/>
      <c r="D1" s="19"/>
      <c r="E1" s="18"/>
      <c r="F1" s="18"/>
      <c r="G1" s="18"/>
      <c r="H1" s="18"/>
      <c r="I1" s="18"/>
      <c r="J1" s="18"/>
      <c r="K1" s="18"/>
      <c r="L1" s="18"/>
      <c r="M1" s="20"/>
      <c r="N1" s="20"/>
      <c r="O1" s="20"/>
      <c r="P1" s="20"/>
      <c r="Q1" s="21"/>
    </row>
    <row r="2" spans="1:40" x14ac:dyDescent="0.3">
      <c r="A2" s="18"/>
      <c r="B2" s="18"/>
      <c r="C2" s="106" t="s">
        <v>63</v>
      </c>
      <c r="D2" s="118" t="s">
        <v>62</v>
      </c>
      <c r="E2" s="118"/>
      <c r="F2" s="118"/>
      <c r="G2" s="18"/>
      <c r="H2" s="18"/>
      <c r="I2" s="119" t="s">
        <v>65</v>
      </c>
      <c r="J2" s="119"/>
      <c r="K2" s="119"/>
      <c r="L2" s="119" t="s">
        <v>53</v>
      </c>
      <c r="M2" s="119"/>
      <c r="N2" s="119"/>
      <c r="O2" s="119"/>
      <c r="P2" s="119"/>
      <c r="Q2" s="119"/>
    </row>
    <row r="3" spans="1:40" x14ac:dyDescent="0.3">
      <c r="A3" s="18"/>
      <c r="B3" s="18"/>
      <c r="C3" s="106" t="s">
        <v>64</v>
      </c>
      <c r="D3" s="106" t="s">
        <v>3</v>
      </c>
      <c r="E3" s="106" t="s">
        <v>4</v>
      </c>
      <c r="F3" s="106"/>
      <c r="G3" s="18" t="s">
        <v>5</v>
      </c>
      <c r="H3" s="106" t="s">
        <v>6</v>
      </c>
      <c r="I3" s="106" t="s">
        <v>7</v>
      </c>
      <c r="J3" s="106" t="s">
        <v>4</v>
      </c>
      <c r="K3" s="106"/>
      <c r="L3" s="106" t="s">
        <v>7</v>
      </c>
      <c r="M3" s="22"/>
      <c r="N3" s="22" t="s">
        <v>4</v>
      </c>
      <c r="O3" s="22"/>
      <c r="P3" s="22"/>
      <c r="Q3" s="23"/>
    </row>
    <row r="4" spans="1:40" s="17" customFormat="1" x14ac:dyDescent="0.3">
      <c r="A4" s="20" t="s">
        <v>27</v>
      </c>
      <c r="B4" s="20" t="s">
        <v>8</v>
      </c>
      <c r="C4" s="45">
        <v>3044</v>
      </c>
      <c r="D4" s="45">
        <v>13</v>
      </c>
      <c r="E4" s="45">
        <v>0.4</v>
      </c>
      <c r="F4" s="5"/>
      <c r="G4" s="22">
        <v>185</v>
      </c>
      <c r="H4" s="22">
        <v>221</v>
      </c>
      <c r="I4" s="22">
        <v>26</v>
      </c>
      <c r="J4" s="22">
        <v>5</v>
      </c>
      <c r="K4" s="22"/>
      <c r="L4" s="48">
        <f>(C4*D4/6.25-(H4-G4)*I4)/1000</f>
        <v>5.3955200000000003</v>
      </c>
      <c r="M4" s="48"/>
      <c r="N4" s="48">
        <f>(C4*E4-(H4-G4)*J4)/1000</f>
        <v>1.0376000000000001</v>
      </c>
      <c r="O4" s="14"/>
      <c r="P4" s="14"/>
      <c r="Q4" s="1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3">
      <c r="A5" s="20"/>
      <c r="B5" s="20" t="s">
        <v>31</v>
      </c>
      <c r="C5" s="106">
        <v>3044</v>
      </c>
      <c r="D5" s="22">
        <v>12.4</v>
      </c>
      <c r="E5" s="22">
        <v>0.37</v>
      </c>
      <c r="F5" s="5"/>
      <c r="G5" s="22"/>
      <c r="H5" s="22"/>
      <c r="I5" s="22"/>
      <c r="J5" s="22"/>
      <c r="K5" s="22"/>
      <c r="L5" s="48"/>
      <c r="M5" s="48"/>
      <c r="N5" s="48"/>
      <c r="O5" s="14"/>
      <c r="P5" s="14"/>
      <c r="Q5" s="1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7" customFormat="1" x14ac:dyDescent="0.3">
      <c r="A6" s="20" t="s">
        <v>28</v>
      </c>
      <c r="B6" s="20" t="s">
        <v>8</v>
      </c>
      <c r="C6" s="45">
        <v>2970</v>
      </c>
      <c r="D6" s="45">
        <v>15</v>
      </c>
      <c r="E6" s="45">
        <v>0.5</v>
      </c>
      <c r="F6" s="5"/>
      <c r="G6" s="22">
        <v>200</v>
      </c>
      <c r="H6" s="22">
        <v>280</v>
      </c>
      <c r="I6" s="22">
        <v>25.7</v>
      </c>
      <c r="J6" s="22">
        <v>6</v>
      </c>
      <c r="K6" s="22"/>
      <c r="L6" s="48">
        <f>(C6*D6/6.25-(H6-G6)*I6)/1000</f>
        <v>5.0720000000000001</v>
      </c>
      <c r="M6" s="48"/>
      <c r="N6" s="48">
        <f>(C6*E6-(H6-G6)*J6)/1000</f>
        <v>1.0049999999999999</v>
      </c>
      <c r="O6" s="14"/>
      <c r="P6" s="14"/>
      <c r="Q6" s="1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3">
      <c r="A7" s="20"/>
      <c r="B7" s="20" t="s">
        <v>31</v>
      </c>
      <c r="C7" s="106">
        <v>2970</v>
      </c>
      <c r="D7" s="22">
        <v>14</v>
      </c>
      <c r="E7" s="22">
        <v>0.46</v>
      </c>
      <c r="F7" s="5"/>
      <c r="G7" s="22"/>
      <c r="H7" s="22"/>
      <c r="I7" s="22"/>
      <c r="J7" s="22"/>
      <c r="K7" s="22"/>
      <c r="L7" s="48"/>
      <c r="M7" s="48"/>
      <c r="N7" s="48"/>
      <c r="O7" s="14"/>
      <c r="P7" s="14"/>
      <c r="Q7" s="15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17" customFormat="1" x14ac:dyDescent="0.3">
      <c r="A8" s="20" t="s">
        <v>9</v>
      </c>
      <c r="B8" s="20" t="s">
        <v>8</v>
      </c>
      <c r="C8" s="22">
        <f>C4+C6</f>
        <v>6014</v>
      </c>
      <c r="D8" s="5"/>
      <c r="E8" s="5"/>
      <c r="F8" s="5"/>
      <c r="G8" s="20"/>
      <c r="H8" s="20"/>
      <c r="I8" s="20"/>
      <c r="J8" s="20"/>
      <c r="K8" s="20"/>
      <c r="L8" s="48">
        <f>L4+L6</f>
        <v>10.46752</v>
      </c>
      <c r="M8" s="48"/>
      <c r="N8" s="48">
        <f>N4+N6</f>
        <v>2.0426000000000002</v>
      </c>
      <c r="O8" s="14"/>
      <c r="P8" s="14"/>
      <c r="Q8" s="15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3">
      <c r="A9" s="18"/>
      <c r="B9" s="18" t="s">
        <v>31</v>
      </c>
      <c r="C9" s="106">
        <f>C5+C7</f>
        <v>6014</v>
      </c>
      <c r="D9" s="4"/>
      <c r="E9" s="4"/>
      <c r="F9" s="4"/>
      <c r="G9" s="18"/>
      <c r="H9" s="18"/>
      <c r="I9" s="18"/>
      <c r="J9" s="18"/>
      <c r="K9" s="18"/>
      <c r="L9" s="49"/>
      <c r="M9" s="48"/>
      <c r="N9" s="48"/>
      <c r="O9" s="14"/>
      <c r="P9" s="14"/>
      <c r="Q9" s="15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s="17" customFormat="1" x14ac:dyDescent="0.3">
      <c r="A10" s="20" t="s">
        <v>11</v>
      </c>
      <c r="B10" s="20" t="s">
        <v>8</v>
      </c>
      <c r="C10" s="45">
        <v>360</v>
      </c>
      <c r="D10" s="45">
        <v>19</v>
      </c>
      <c r="E10" s="45">
        <v>0.6</v>
      </c>
      <c r="F10" s="45"/>
      <c r="G10" s="86">
        <v>10</v>
      </c>
      <c r="H10" s="86">
        <v>35</v>
      </c>
      <c r="I10" s="22">
        <v>30.4</v>
      </c>
      <c r="J10" s="22">
        <v>5</v>
      </c>
      <c r="K10" s="22"/>
      <c r="L10" s="48">
        <f>(C10*D10/6.25-(H10-G10)*I10)/1000</f>
        <v>0.33440000000000009</v>
      </c>
      <c r="M10" s="48"/>
      <c r="N10" s="48">
        <f>(C10*E10-(H10-G10)*J10)/1000</f>
        <v>9.0999999999999998E-2</v>
      </c>
      <c r="O10" s="14"/>
      <c r="P10" s="14"/>
      <c r="Q10" s="10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3">
      <c r="A11" s="20"/>
      <c r="B11" s="20" t="s">
        <v>31</v>
      </c>
      <c r="C11" s="106">
        <v>360</v>
      </c>
      <c r="D11" s="22">
        <v>18.100000000000001</v>
      </c>
      <c r="E11" s="22">
        <v>0.55000000000000004</v>
      </c>
      <c r="F11" s="4"/>
      <c r="G11" s="4"/>
      <c r="H11" s="4"/>
      <c r="I11" s="22"/>
      <c r="J11" s="22"/>
      <c r="K11" s="22"/>
      <c r="L11" s="48"/>
      <c r="M11" s="48"/>
      <c r="N11" s="48"/>
      <c r="O11" s="14"/>
      <c r="P11" s="14"/>
      <c r="Q11" s="15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3">
      <c r="A12" s="20"/>
      <c r="B12" s="20" t="s">
        <v>39</v>
      </c>
      <c r="C12" s="26">
        <f>K21*(H10-G10)</f>
        <v>351.375</v>
      </c>
      <c r="D12" s="22"/>
      <c r="E12" s="22"/>
      <c r="F12" s="4"/>
      <c r="G12" s="4"/>
      <c r="H12" s="4"/>
      <c r="I12" s="22"/>
      <c r="J12" s="22"/>
      <c r="K12" s="22"/>
      <c r="L12" s="48"/>
      <c r="M12" s="48"/>
      <c r="N12" s="48"/>
      <c r="O12" s="14"/>
      <c r="P12" s="14"/>
      <c r="Q12" s="15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11" customFormat="1" x14ac:dyDescent="0.3">
      <c r="A13" s="44" t="s">
        <v>12</v>
      </c>
      <c r="B13" s="44" t="s">
        <v>8</v>
      </c>
      <c r="C13" s="7">
        <v>3144</v>
      </c>
      <c r="D13" s="7">
        <v>15.5</v>
      </c>
      <c r="E13" s="7">
        <v>0.5</v>
      </c>
      <c r="F13" s="7"/>
      <c r="G13" s="8">
        <v>30</v>
      </c>
      <c r="H13" s="7">
        <v>140</v>
      </c>
      <c r="I13" s="24">
        <v>29.6</v>
      </c>
      <c r="J13" s="24">
        <v>5.5</v>
      </c>
      <c r="K13" s="24"/>
      <c r="L13" s="50">
        <f>(C13*D13/6.25-(H13-G13)*I13)/1000</f>
        <v>4.5411200000000003</v>
      </c>
      <c r="M13" s="50"/>
      <c r="N13" s="50">
        <f>(C13*E13-(H13-G13)*J13)/1000</f>
        <v>0.96699999999999997</v>
      </c>
      <c r="O13" s="10"/>
      <c r="P13" s="10"/>
      <c r="Q13" s="10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s="2" customFormat="1" x14ac:dyDescent="0.3">
      <c r="A14" s="20"/>
      <c r="B14" s="20" t="s">
        <v>31</v>
      </c>
      <c r="C14" s="106">
        <v>3144</v>
      </c>
      <c r="D14" s="22" t="s">
        <v>32</v>
      </c>
      <c r="E14" s="22" t="s">
        <v>33</v>
      </c>
      <c r="F14" s="5"/>
      <c r="G14" s="12"/>
      <c r="H14" s="4"/>
      <c r="I14" s="4"/>
      <c r="J14" s="4"/>
      <c r="K14" s="4"/>
      <c r="L14" s="13"/>
      <c r="M14" s="14"/>
      <c r="N14" s="14"/>
      <c r="O14" s="14"/>
      <c r="P14" s="14"/>
      <c r="Q14" s="15"/>
    </row>
    <row r="15" spans="1:40" s="2" customFormat="1" x14ac:dyDescent="0.3">
      <c r="C15" s="5"/>
      <c r="D15" s="5"/>
      <c r="E15" s="5"/>
      <c r="F15" s="5"/>
      <c r="G15" s="16"/>
      <c r="H15" s="5"/>
      <c r="I15" s="5"/>
      <c r="J15" s="5"/>
      <c r="K15" s="5"/>
      <c r="L15" s="14"/>
      <c r="M15" s="14"/>
      <c r="N15" s="14"/>
      <c r="O15" s="14"/>
      <c r="P15" s="14"/>
      <c r="Q15" s="15"/>
    </row>
    <row r="16" spans="1:40" s="2" customFormat="1" x14ac:dyDescent="0.3">
      <c r="A16" s="18" t="s">
        <v>13</v>
      </c>
      <c r="B16" s="45">
        <v>130</v>
      </c>
      <c r="C16" s="1"/>
      <c r="D16" s="1"/>
      <c r="E16" s="1"/>
      <c r="F16" s="1"/>
      <c r="G16" s="12"/>
      <c r="H16" s="4"/>
      <c r="I16" s="4"/>
      <c r="J16" s="4"/>
      <c r="K16" s="4"/>
      <c r="L16" s="13"/>
      <c r="M16" s="14"/>
      <c r="N16" s="14"/>
      <c r="O16" s="14"/>
      <c r="P16" s="14"/>
      <c r="Q16" s="15"/>
    </row>
    <row r="17" spans="1:17" s="2" customFormat="1" x14ac:dyDescent="0.3">
      <c r="A17" s="18" t="s">
        <v>14</v>
      </c>
      <c r="B17" s="45">
        <v>262</v>
      </c>
      <c r="C17" s="1"/>
      <c r="D17" s="1"/>
      <c r="E17" s="1"/>
      <c r="F17" s="1"/>
      <c r="G17" s="12"/>
      <c r="H17" s="4"/>
      <c r="I17" s="4"/>
      <c r="J17" s="4"/>
      <c r="K17" s="4"/>
      <c r="L17" s="13"/>
      <c r="M17" s="14"/>
      <c r="N17" s="14"/>
      <c r="O17" s="14"/>
      <c r="P17" s="14"/>
      <c r="Q17" s="15"/>
    </row>
    <row r="18" spans="1:17" s="2" customFormat="1" ht="15.6" x14ac:dyDescent="0.3">
      <c r="A18" s="18" t="s">
        <v>15</v>
      </c>
      <c r="B18" s="45">
        <v>12085</v>
      </c>
      <c r="C18" s="1"/>
      <c r="D18" s="1"/>
      <c r="E18" s="1"/>
      <c r="F18" s="1"/>
      <c r="G18" s="12"/>
      <c r="H18" s="4"/>
      <c r="I18" s="114" t="s">
        <v>50</v>
      </c>
      <c r="J18" s="115"/>
      <c r="K18" s="116"/>
      <c r="L18" s="116"/>
      <c r="M18" s="116"/>
      <c r="N18" s="116"/>
      <c r="O18" s="51"/>
      <c r="P18" s="51"/>
      <c r="Q18" s="52"/>
    </row>
    <row r="19" spans="1:17" s="2" customFormat="1" ht="15.6" x14ac:dyDescent="0.3">
      <c r="A19" s="18" t="s">
        <v>16</v>
      </c>
      <c r="B19" s="45">
        <v>2.2000000000000002</v>
      </c>
      <c r="C19" s="1"/>
      <c r="D19" s="1"/>
      <c r="E19" s="1"/>
      <c r="F19" s="1"/>
      <c r="G19" s="1"/>
      <c r="H19" s="1"/>
      <c r="I19" s="105"/>
      <c r="J19" s="39"/>
      <c r="K19" s="39"/>
      <c r="L19" s="53"/>
      <c r="M19" s="54"/>
      <c r="N19" s="54"/>
      <c r="O19" s="54"/>
      <c r="P19" s="54"/>
      <c r="Q19" s="55"/>
    </row>
    <row r="20" spans="1:17" s="2" customFormat="1" ht="15.6" x14ac:dyDescent="0.3">
      <c r="A20" s="18"/>
      <c r="B20" s="106"/>
      <c r="C20" s="18"/>
      <c r="D20" s="18"/>
      <c r="E20" s="18"/>
      <c r="F20" s="18"/>
      <c r="G20" s="18"/>
      <c r="H20" s="18"/>
      <c r="I20" s="113" t="s">
        <v>42</v>
      </c>
      <c r="J20" s="112"/>
      <c r="K20" s="56">
        <f>C10/(H10-G10)</f>
        <v>14.4</v>
      </c>
      <c r="L20" s="33" t="s">
        <v>41</v>
      </c>
      <c r="M20" s="34"/>
      <c r="N20" s="34"/>
      <c r="O20" s="34"/>
      <c r="P20" s="90">
        <f>G10</f>
        <v>10</v>
      </c>
      <c r="Q20" s="91">
        <f>H10</f>
        <v>35</v>
      </c>
    </row>
    <row r="21" spans="1:17" s="2" customFormat="1" ht="15.6" x14ac:dyDescent="0.3">
      <c r="A21" s="18" t="s">
        <v>17</v>
      </c>
      <c r="B21" s="26">
        <f>((B17*B19*C4*D4+B17*C6*B19*D6+C10*B18*D10+C13*D13*B16)/6.25)/1000</f>
        <v>21997.516928000005</v>
      </c>
      <c r="C21" s="18"/>
      <c r="D21" s="18" t="s">
        <v>18</v>
      </c>
      <c r="E21" s="18"/>
      <c r="F21" s="26">
        <f>(B17*C4*B19*E4+B17*C6*B19*E6+B18*C10*E10+B16*C13*E13)/1000</f>
        <v>4372.4986400000007</v>
      </c>
      <c r="G21" s="18"/>
      <c r="H21" s="18"/>
      <c r="I21" s="111" t="s">
        <v>43</v>
      </c>
      <c r="J21" s="112"/>
      <c r="K21" s="56">
        <f>K20+0.069*(30-H10)</f>
        <v>14.055</v>
      </c>
      <c r="L21" s="33" t="s">
        <v>56</v>
      </c>
      <c r="M21" s="34"/>
      <c r="N21" s="34"/>
      <c r="O21" s="34"/>
      <c r="P21" s="59"/>
      <c r="Q21" s="60"/>
    </row>
    <row r="22" spans="1:17" s="2" customFormat="1" ht="15.6" x14ac:dyDescent="0.3">
      <c r="A22" s="18"/>
      <c r="B22" s="26"/>
      <c r="C22" s="18"/>
      <c r="D22" s="18"/>
      <c r="E22" s="18"/>
      <c r="F22" s="26"/>
      <c r="G22" s="18"/>
      <c r="H22" s="18"/>
      <c r="I22" s="113" t="s">
        <v>31</v>
      </c>
      <c r="J22" s="112"/>
      <c r="K22" s="56">
        <v>18</v>
      </c>
      <c r="L22" s="33" t="s">
        <v>44</v>
      </c>
      <c r="M22" s="34"/>
      <c r="N22" s="34"/>
      <c r="O22" s="34"/>
      <c r="P22" s="59"/>
      <c r="Q22" s="60"/>
    </row>
    <row r="23" spans="1:17" s="2" customFormat="1" ht="15.6" x14ac:dyDescent="0.3">
      <c r="A23" s="18" t="s">
        <v>19</v>
      </c>
      <c r="B23" s="26">
        <f>B17*B19*L4+B17*B19*L6+B18*L10+B16*L13</f>
        <v>10665.048128000002</v>
      </c>
      <c r="C23" s="18"/>
      <c r="D23" s="18" t="s">
        <v>20</v>
      </c>
      <c r="E23" s="18"/>
      <c r="F23" s="26">
        <f>B17*B19*N4+B17*B19*N6+B18*N10+B16*N13</f>
        <v>2402.7996400000002</v>
      </c>
      <c r="G23" s="18"/>
      <c r="H23" s="18"/>
      <c r="I23" s="61"/>
      <c r="J23" s="62"/>
      <c r="K23" s="62"/>
      <c r="L23" s="62"/>
      <c r="M23" s="63"/>
      <c r="N23" s="64"/>
      <c r="O23" s="64"/>
      <c r="P23" s="64"/>
      <c r="Q23" s="65"/>
    </row>
    <row r="24" spans="1:17" s="2" customFormat="1" x14ac:dyDescent="0.3">
      <c r="A24" s="18"/>
      <c r="B24" s="26"/>
      <c r="C24" s="18"/>
      <c r="D24" s="18"/>
      <c r="E24" s="18"/>
      <c r="F24" s="26"/>
      <c r="G24" s="18"/>
      <c r="H24" s="18"/>
      <c r="I24" s="18"/>
      <c r="J24" s="18"/>
      <c r="K24" s="18"/>
      <c r="L24" s="18"/>
      <c r="M24" s="20"/>
      <c r="N24" s="20"/>
      <c r="O24" s="20"/>
      <c r="P24" s="20"/>
      <c r="Q24" s="21"/>
    </row>
    <row r="25" spans="1:17" s="2" customFormat="1" ht="18" x14ac:dyDescent="0.35">
      <c r="A25" s="19" t="s">
        <v>21</v>
      </c>
      <c r="B25" s="66">
        <f>((B21-B23)/B21)*100</f>
        <v>51.517036386844325</v>
      </c>
      <c r="C25" s="19"/>
      <c r="D25" s="19" t="s">
        <v>22</v>
      </c>
      <c r="E25" s="19"/>
      <c r="F25" s="66">
        <f>((F21-F23)/F21)*100</f>
        <v>45.047446830080666</v>
      </c>
      <c r="G25" s="18"/>
      <c r="H25" s="18"/>
      <c r="I25" s="1"/>
      <c r="J25" s="1"/>
      <c r="K25" s="1"/>
      <c r="L25" s="1"/>
      <c r="Q25" s="3"/>
    </row>
    <row r="26" spans="1:17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0"/>
      <c r="N26" s="20"/>
      <c r="O26" s="20"/>
      <c r="P26" s="20"/>
    </row>
    <row r="27" spans="1:17" s="2" customFormat="1" x14ac:dyDescent="0.3">
      <c r="A27" s="18"/>
      <c r="B27" s="18"/>
      <c r="C27" s="18"/>
      <c r="D27" s="18"/>
      <c r="E27" s="18"/>
      <c r="F27" s="18"/>
      <c r="G27" s="18"/>
      <c r="H27" s="18"/>
      <c r="I27" s="18"/>
      <c r="J27" s="40"/>
      <c r="K27" s="18"/>
      <c r="L27" s="18"/>
      <c r="M27" s="20"/>
      <c r="N27" s="20"/>
      <c r="O27" s="20"/>
      <c r="P27" s="20"/>
      <c r="Q27" s="3"/>
    </row>
    <row r="28" spans="1:17" s="2" customFormat="1" ht="15.6" x14ac:dyDescent="0.3">
      <c r="A28" s="117" t="s">
        <v>60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8"/>
      <c r="L28" s="18"/>
      <c r="M28" s="20"/>
      <c r="N28" s="20"/>
      <c r="O28" s="20"/>
      <c r="P28" s="20"/>
      <c r="Q28" s="3"/>
    </row>
    <row r="29" spans="1:17" s="2" customFormat="1" x14ac:dyDescent="0.3">
      <c r="A29" s="18"/>
      <c r="B29" s="106" t="s">
        <v>3</v>
      </c>
      <c r="C29" s="106" t="s">
        <v>4</v>
      </c>
      <c r="D29" s="18"/>
      <c r="E29" s="18"/>
      <c r="F29" s="18"/>
      <c r="G29" s="18"/>
      <c r="H29" s="18"/>
      <c r="I29" s="18"/>
      <c r="J29" s="40"/>
      <c r="K29" s="18"/>
      <c r="L29" s="18"/>
      <c r="M29" s="20"/>
      <c r="N29" s="20"/>
      <c r="O29" s="20"/>
      <c r="P29" s="20"/>
      <c r="Q29" s="3"/>
    </row>
    <row r="30" spans="1:17" x14ac:dyDescent="0.3">
      <c r="A30" s="18" t="s">
        <v>45</v>
      </c>
      <c r="B30" s="26">
        <f>D4/D5*100</f>
        <v>104.83870967741935</v>
      </c>
      <c r="C30" s="26">
        <f>E4/E5*100</f>
        <v>108.10810810810811</v>
      </c>
      <c r="D30" s="18"/>
      <c r="E30" s="18"/>
      <c r="F30" s="18"/>
      <c r="G30" s="18"/>
      <c r="H30" s="18"/>
      <c r="I30" s="18"/>
      <c r="J30" s="40"/>
      <c r="K30" s="18"/>
      <c r="L30" s="18"/>
      <c r="M30" s="20"/>
      <c r="N30" s="20"/>
      <c r="O30" s="20"/>
      <c r="P30" s="20"/>
    </row>
    <row r="31" spans="1:17" x14ac:dyDescent="0.3">
      <c r="A31" s="18" t="s">
        <v>46</v>
      </c>
      <c r="B31" s="26">
        <f>D6/D7*100</f>
        <v>107.14285714285714</v>
      </c>
      <c r="C31" s="26">
        <f>E6/E7*100</f>
        <v>108.69565217391303</v>
      </c>
      <c r="D31" s="18"/>
      <c r="E31" s="18"/>
      <c r="F31" s="18"/>
      <c r="G31" s="18"/>
      <c r="H31" s="18"/>
      <c r="I31" s="18"/>
      <c r="J31" s="42"/>
      <c r="K31" s="18"/>
      <c r="L31" s="18"/>
      <c r="M31" s="20"/>
      <c r="N31" s="20"/>
      <c r="O31" s="20"/>
      <c r="P31" s="20"/>
    </row>
    <row r="32" spans="1:17" x14ac:dyDescent="0.3">
      <c r="A32" s="18" t="s">
        <v>47</v>
      </c>
      <c r="B32" s="26">
        <f>D10/D11*100</f>
        <v>104.97237569060773</v>
      </c>
      <c r="C32" s="26">
        <f>E10/E11*100</f>
        <v>109.09090909090908</v>
      </c>
      <c r="D32" s="18"/>
      <c r="E32" s="18"/>
      <c r="F32" s="18"/>
      <c r="G32" s="18"/>
      <c r="H32" s="18"/>
      <c r="I32" s="18"/>
      <c r="J32" s="18"/>
      <c r="K32" s="18"/>
      <c r="L32" s="18"/>
      <c r="M32" s="20"/>
      <c r="N32" s="20"/>
      <c r="O32" s="20"/>
      <c r="P32" s="20"/>
    </row>
    <row r="33" spans="1:16" x14ac:dyDescent="0.3">
      <c r="A33" s="18" t="s">
        <v>12</v>
      </c>
      <c r="B33" s="26">
        <f>D13/14.9*100</f>
        <v>104.02684563758389</v>
      </c>
      <c r="C33" s="26">
        <f>E13/0.43*100</f>
        <v>116.27906976744187</v>
      </c>
      <c r="D33" s="18"/>
      <c r="E33" s="18"/>
      <c r="F33" s="18"/>
      <c r="G33" s="18"/>
      <c r="H33" s="18"/>
      <c r="I33" s="18"/>
      <c r="J33" s="18"/>
      <c r="K33" s="18"/>
      <c r="L33" s="18"/>
      <c r="M33" s="20"/>
      <c r="N33" s="20"/>
      <c r="O33" s="20"/>
      <c r="P33" s="20"/>
    </row>
    <row r="34" spans="1:16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0"/>
      <c r="N34" s="20"/>
      <c r="O34" s="20"/>
      <c r="P34" s="20"/>
    </row>
    <row r="35" spans="1:16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0"/>
      <c r="N35" s="20"/>
      <c r="O35" s="20"/>
      <c r="P35" s="20"/>
    </row>
    <row r="36" spans="1:16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0"/>
      <c r="N36" s="20"/>
      <c r="O36" s="20"/>
      <c r="P36" s="20"/>
    </row>
  </sheetData>
  <mergeCells count="8">
    <mergeCell ref="I21:J21"/>
    <mergeCell ref="I22:J22"/>
    <mergeCell ref="I18:N18"/>
    <mergeCell ref="A28:J28"/>
    <mergeCell ref="D2:F2"/>
    <mergeCell ref="I2:K2"/>
    <mergeCell ref="L2:Q2"/>
    <mergeCell ref="I20:J20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3"/>
  <sheetViews>
    <sheetView topLeftCell="A7" workbookViewId="0">
      <selection activeCell="E20" sqref="E20"/>
    </sheetView>
  </sheetViews>
  <sheetFormatPr defaultColWidth="9.109375" defaultRowHeight="14.4" x14ac:dyDescent="0.3"/>
  <cols>
    <col min="1" max="1" width="27.33203125" style="1" customWidth="1"/>
    <col min="2" max="2" width="13.44140625" style="1" customWidth="1"/>
    <col min="3" max="3" width="12.44140625" style="1" customWidth="1"/>
    <col min="4" max="11" width="9.109375" style="1"/>
    <col min="12" max="12" width="11.109375" style="1" customWidth="1"/>
    <col min="13" max="15" width="9.109375" style="2"/>
    <col min="16" max="16" width="9.109375" style="2" customWidth="1"/>
    <col min="17" max="17" width="9.109375" style="3"/>
    <col min="18" max="18" width="9.109375" style="2"/>
    <col min="19" max="16384" width="9.109375" style="1"/>
  </cols>
  <sheetData>
    <row r="1" spans="1:18" ht="18" x14ac:dyDescent="0.35">
      <c r="A1" s="19" t="s">
        <v>0</v>
      </c>
      <c r="B1" s="19"/>
      <c r="C1" s="19"/>
      <c r="D1" s="19"/>
      <c r="E1" s="18"/>
      <c r="F1" s="18"/>
      <c r="G1" s="18"/>
      <c r="H1" s="18"/>
      <c r="I1" s="18"/>
      <c r="J1" s="18"/>
      <c r="K1" s="18"/>
      <c r="L1" s="18"/>
      <c r="M1" s="20"/>
      <c r="N1" s="20"/>
      <c r="O1" s="20"/>
      <c r="P1" s="20"/>
      <c r="Q1" s="21"/>
    </row>
    <row r="2" spans="1:18" x14ac:dyDescent="0.3">
      <c r="A2" s="18"/>
      <c r="B2" s="18"/>
      <c r="C2" s="106" t="s">
        <v>69</v>
      </c>
      <c r="D2" s="118" t="s">
        <v>34</v>
      </c>
      <c r="E2" s="118"/>
      <c r="F2" s="118"/>
      <c r="G2" s="18"/>
      <c r="H2" s="18"/>
      <c r="I2" s="119" t="s">
        <v>2</v>
      </c>
      <c r="J2" s="119"/>
      <c r="K2" s="119"/>
      <c r="L2" s="119" t="s">
        <v>67</v>
      </c>
      <c r="M2" s="119"/>
      <c r="N2" s="119"/>
      <c r="O2" s="119"/>
      <c r="P2" s="119"/>
      <c r="Q2" s="119"/>
    </row>
    <row r="3" spans="1:18" x14ac:dyDescent="0.3">
      <c r="A3" s="18"/>
      <c r="B3" s="18"/>
      <c r="C3" s="106" t="s">
        <v>70</v>
      </c>
      <c r="D3" s="106" t="s">
        <v>3</v>
      </c>
      <c r="E3" s="106" t="s">
        <v>4</v>
      </c>
      <c r="F3" s="106"/>
      <c r="G3" s="18" t="s">
        <v>5</v>
      </c>
      <c r="H3" s="106" t="s">
        <v>6</v>
      </c>
      <c r="I3" s="106" t="s">
        <v>7</v>
      </c>
      <c r="J3" s="106" t="s">
        <v>4</v>
      </c>
      <c r="K3" s="106"/>
      <c r="L3" s="106" t="s">
        <v>7</v>
      </c>
      <c r="M3" s="22"/>
      <c r="N3" s="22" t="s">
        <v>4</v>
      </c>
      <c r="O3" s="22"/>
      <c r="P3" s="22"/>
      <c r="Q3" s="23"/>
    </row>
    <row r="4" spans="1:18" x14ac:dyDescent="0.3">
      <c r="A4" s="18" t="s">
        <v>23</v>
      </c>
      <c r="B4" s="18" t="s">
        <v>8</v>
      </c>
      <c r="C4" s="45">
        <v>3290</v>
      </c>
      <c r="D4" s="45">
        <v>14</v>
      </c>
      <c r="E4" s="45">
        <v>0.46</v>
      </c>
      <c r="F4" s="4"/>
      <c r="G4" s="106">
        <v>197</v>
      </c>
      <c r="H4" s="106">
        <v>280</v>
      </c>
      <c r="I4" s="106">
        <v>25.7</v>
      </c>
      <c r="J4" s="106">
        <v>5</v>
      </c>
      <c r="K4" s="106"/>
      <c r="L4" s="49">
        <f>(C4*D4/6.25-(H4-G4)*I4)/1000</f>
        <v>5.2365000000000004</v>
      </c>
      <c r="M4" s="48"/>
      <c r="N4" s="48">
        <f>(C4*E4-(H4-G4)*J4)/1000</f>
        <v>1.0984</v>
      </c>
      <c r="O4" s="14"/>
      <c r="P4" s="14"/>
      <c r="Q4" s="15"/>
    </row>
    <row r="5" spans="1:18" x14ac:dyDescent="0.3">
      <c r="A5" s="18"/>
      <c r="B5" s="18"/>
      <c r="C5" s="106">
        <v>3290</v>
      </c>
      <c r="D5" s="22">
        <v>14</v>
      </c>
      <c r="E5" s="22">
        <v>0.46</v>
      </c>
      <c r="F5" s="4"/>
      <c r="G5" s="4"/>
      <c r="H5" s="4"/>
      <c r="I5" s="4"/>
      <c r="J5" s="4"/>
      <c r="K5" s="4"/>
      <c r="L5" s="47"/>
      <c r="M5" s="46"/>
      <c r="N5" s="46"/>
      <c r="O5" s="14"/>
      <c r="P5" s="14"/>
      <c r="Q5" s="15"/>
    </row>
    <row r="6" spans="1:18" s="17" customFormat="1" x14ac:dyDescent="0.3">
      <c r="A6" s="20" t="s">
        <v>11</v>
      </c>
      <c r="B6" s="20" t="s">
        <v>8</v>
      </c>
      <c r="C6" s="45">
        <v>450</v>
      </c>
      <c r="D6" s="45">
        <v>18.100000000000001</v>
      </c>
      <c r="E6" s="45">
        <v>0.6</v>
      </c>
      <c r="F6" s="45"/>
      <c r="G6" s="86">
        <v>10</v>
      </c>
      <c r="H6" s="86">
        <v>35</v>
      </c>
      <c r="I6" s="22">
        <v>30.4</v>
      </c>
      <c r="J6" s="22">
        <v>5</v>
      </c>
      <c r="K6" s="22"/>
      <c r="L6" s="48">
        <f>(C6*D6/6.25-(H6-G6)*I6)/1000</f>
        <v>0.54320000000000002</v>
      </c>
      <c r="M6" s="48"/>
      <c r="N6" s="48">
        <f>(C6*E6-(H6-G6)*J6)/1000</f>
        <v>0.14499999999999999</v>
      </c>
      <c r="O6" s="14"/>
      <c r="P6" s="14"/>
      <c r="Q6" s="15"/>
      <c r="R6" s="2"/>
    </row>
    <row r="7" spans="1:18" x14ac:dyDescent="0.3">
      <c r="A7" s="20"/>
      <c r="B7" s="20" t="s">
        <v>31</v>
      </c>
      <c r="C7" s="106">
        <v>360</v>
      </c>
      <c r="D7" s="106">
        <v>18.100000000000001</v>
      </c>
      <c r="E7" s="106">
        <v>0.55000000000000004</v>
      </c>
      <c r="F7" s="106"/>
      <c r="G7" s="4"/>
      <c r="H7" s="4"/>
      <c r="I7" s="22"/>
      <c r="J7" s="22"/>
      <c r="K7" s="22"/>
      <c r="L7" s="48"/>
      <c r="M7" s="48"/>
      <c r="N7" s="48"/>
      <c r="O7" s="14"/>
      <c r="P7" s="14"/>
      <c r="Q7" s="15"/>
    </row>
    <row r="8" spans="1:18" s="11" customFormat="1" x14ac:dyDescent="0.3">
      <c r="A8" s="44"/>
      <c r="B8" s="44" t="s">
        <v>39</v>
      </c>
      <c r="C8" s="68">
        <f>J15*(H6-G6)</f>
        <v>441.375</v>
      </c>
      <c r="D8" s="24"/>
      <c r="E8" s="24"/>
      <c r="F8" s="24"/>
      <c r="G8" s="67"/>
      <c r="H8" s="9"/>
      <c r="I8" s="24"/>
      <c r="J8" s="9"/>
      <c r="K8" s="9"/>
      <c r="L8" s="10"/>
      <c r="M8" s="10"/>
      <c r="N8" s="10"/>
      <c r="O8" s="10"/>
      <c r="P8" s="10"/>
      <c r="Q8" s="10"/>
      <c r="R8" s="6"/>
    </row>
    <row r="9" spans="1:18" s="2" customFormat="1" x14ac:dyDescent="0.3">
      <c r="C9" s="4"/>
      <c r="D9" s="4"/>
      <c r="E9" s="4"/>
      <c r="F9" s="4"/>
      <c r="G9" s="12"/>
      <c r="H9" s="4"/>
      <c r="I9" s="4"/>
      <c r="J9" s="4"/>
      <c r="K9" s="4"/>
      <c r="L9" s="13"/>
      <c r="M9" s="14"/>
      <c r="N9" s="14"/>
      <c r="O9" s="14"/>
      <c r="P9" s="14"/>
      <c r="Q9" s="15"/>
    </row>
    <row r="10" spans="1:18" s="2" customFormat="1" x14ac:dyDescent="0.3">
      <c r="C10" s="5"/>
      <c r="D10" s="5"/>
      <c r="E10" s="5"/>
      <c r="F10" s="5"/>
      <c r="G10" s="16"/>
      <c r="H10" s="5"/>
      <c r="I10" s="5"/>
      <c r="J10" s="5"/>
      <c r="K10" s="5"/>
      <c r="L10" s="14"/>
      <c r="M10" s="14"/>
      <c r="N10" s="14"/>
      <c r="O10" s="14"/>
      <c r="P10" s="14"/>
      <c r="Q10" s="15"/>
    </row>
    <row r="11" spans="1:18" s="2" customFormat="1" ht="15.6" x14ac:dyDescent="0.3">
      <c r="A11" s="18" t="s">
        <v>29</v>
      </c>
      <c r="B11" s="45">
        <v>130</v>
      </c>
      <c r="C11" s="1"/>
      <c r="D11" s="1"/>
      <c r="E11" s="1"/>
      <c r="F11" s="1"/>
      <c r="G11" s="12"/>
      <c r="H11" s="70"/>
      <c r="I11" s="71"/>
      <c r="J11" s="71"/>
      <c r="K11" s="71"/>
      <c r="L11" s="72"/>
      <c r="M11" s="51"/>
      <c r="N11" s="51"/>
      <c r="O11" s="51"/>
      <c r="P11" s="52"/>
      <c r="Q11" s="15"/>
    </row>
    <row r="12" spans="1:18" s="2" customFormat="1" ht="15.6" x14ac:dyDescent="0.3">
      <c r="A12" s="18" t="s">
        <v>15</v>
      </c>
      <c r="B12" s="45">
        <v>3250</v>
      </c>
      <c r="C12" s="1"/>
      <c r="D12" s="1"/>
      <c r="E12" s="1"/>
      <c r="F12" s="1"/>
      <c r="G12" s="12"/>
      <c r="H12" s="121" t="s">
        <v>50</v>
      </c>
      <c r="I12" s="122"/>
      <c r="J12" s="123"/>
      <c r="K12" s="123"/>
      <c r="L12" s="123"/>
      <c r="M12" s="54"/>
      <c r="N12" s="54"/>
      <c r="O12" s="54"/>
      <c r="P12" s="55"/>
      <c r="Q12" s="15"/>
    </row>
    <row r="13" spans="1:18" s="2" customFormat="1" ht="15.6" x14ac:dyDescent="0.3">
      <c r="A13" s="20"/>
      <c r="B13" s="22"/>
      <c r="C13" s="18"/>
      <c r="D13" s="18"/>
      <c r="E13" s="18"/>
      <c r="F13" s="18"/>
      <c r="G13" s="26"/>
      <c r="H13" s="105"/>
      <c r="I13" s="39"/>
      <c r="J13" s="69"/>
      <c r="K13" s="69"/>
      <c r="L13" s="53"/>
      <c r="M13" s="54"/>
      <c r="N13" s="54"/>
      <c r="O13" s="54"/>
      <c r="P13" s="55"/>
      <c r="Q13" s="15"/>
    </row>
    <row r="14" spans="1:18" s="2" customFormat="1" ht="15.6" x14ac:dyDescent="0.3">
      <c r="A14" s="18"/>
      <c r="B14" s="22"/>
      <c r="C14" s="18"/>
      <c r="D14" s="18"/>
      <c r="E14" s="18"/>
      <c r="F14" s="18"/>
      <c r="G14" s="18"/>
      <c r="H14" s="113" t="s">
        <v>42</v>
      </c>
      <c r="I14" s="112"/>
      <c r="J14" s="36">
        <f>C6/(H6-G6)</f>
        <v>18</v>
      </c>
      <c r="K14" s="33" t="s">
        <v>41</v>
      </c>
      <c r="L14" s="34"/>
      <c r="M14" s="34"/>
      <c r="N14" s="34"/>
      <c r="O14" s="90">
        <f>G6</f>
        <v>10</v>
      </c>
      <c r="P14" s="91">
        <f>H6</f>
        <v>35</v>
      </c>
      <c r="Q14" s="15"/>
    </row>
    <row r="15" spans="1:18" s="2" customFormat="1" ht="15.6" x14ac:dyDescent="0.3">
      <c r="A15" s="18"/>
      <c r="B15" s="106"/>
      <c r="C15" s="18"/>
      <c r="D15" s="18"/>
      <c r="E15" s="18"/>
      <c r="F15" s="18"/>
      <c r="G15" s="18"/>
      <c r="H15" s="111" t="s">
        <v>43</v>
      </c>
      <c r="I15" s="112"/>
      <c r="J15" s="36">
        <f>J14+0.069*(30-H6)</f>
        <v>17.655000000000001</v>
      </c>
      <c r="K15" s="33" t="s">
        <v>40</v>
      </c>
      <c r="L15" s="34"/>
      <c r="M15" s="34"/>
      <c r="N15" s="34"/>
      <c r="O15" s="34"/>
      <c r="P15" s="35"/>
      <c r="Q15" s="15"/>
    </row>
    <row r="16" spans="1:18" s="2" customFormat="1" ht="15.6" x14ac:dyDescent="0.3">
      <c r="A16" s="18" t="s">
        <v>17</v>
      </c>
      <c r="B16" s="26">
        <f>((B11*C4*D4+B12*C6*D6)/6.25)/1000</f>
        <v>5193.4480000000012</v>
      </c>
      <c r="C16" s="18"/>
      <c r="D16" s="18" t="s">
        <v>18</v>
      </c>
      <c r="E16" s="18"/>
      <c r="F16" s="26">
        <f>(B11*C4*E4+B12*C6*E6)/1000</f>
        <v>1074.242</v>
      </c>
      <c r="G16" s="18"/>
      <c r="H16" s="113" t="s">
        <v>31</v>
      </c>
      <c r="I16" s="112"/>
      <c r="J16" s="36">
        <v>18</v>
      </c>
      <c r="K16" s="33" t="s">
        <v>44</v>
      </c>
      <c r="L16" s="34"/>
      <c r="M16" s="34"/>
      <c r="N16" s="34"/>
      <c r="O16" s="59"/>
      <c r="P16" s="60"/>
      <c r="Q16" s="3"/>
    </row>
    <row r="17" spans="1:17" s="2" customFormat="1" ht="15.6" x14ac:dyDescent="0.3">
      <c r="A17" s="18"/>
      <c r="B17" s="26"/>
      <c r="C17" s="18"/>
      <c r="D17" s="18"/>
      <c r="E17" s="18"/>
      <c r="F17" s="26"/>
      <c r="G17" s="18"/>
      <c r="H17" s="61"/>
      <c r="I17" s="62"/>
      <c r="J17" s="62"/>
      <c r="K17" s="62"/>
      <c r="L17" s="62"/>
      <c r="M17" s="64"/>
      <c r="N17" s="64"/>
      <c r="O17" s="64"/>
      <c r="P17" s="65"/>
      <c r="Q17" s="3"/>
    </row>
    <row r="18" spans="1:17" s="2" customFormat="1" x14ac:dyDescent="0.3">
      <c r="A18" s="18" t="s">
        <v>19</v>
      </c>
      <c r="B18" s="26">
        <f>B11*L4+B12*L6</f>
        <v>2446.145</v>
      </c>
      <c r="C18" s="18"/>
      <c r="D18" s="18" t="s">
        <v>20</v>
      </c>
      <c r="E18" s="18"/>
      <c r="F18" s="26">
        <f>B11*N4+B12*N6</f>
        <v>614.04199999999992</v>
      </c>
      <c r="G18" s="18"/>
      <c r="H18" s="18"/>
      <c r="I18" s="18"/>
      <c r="J18" s="18"/>
      <c r="K18" s="18"/>
      <c r="L18" s="18"/>
      <c r="M18" s="22"/>
      <c r="N18" s="20"/>
      <c r="O18" s="20"/>
      <c r="P18" s="20"/>
      <c r="Q18" s="3"/>
    </row>
    <row r="19" spans="1:17" s="2" customFormat="1" x14ac:dyDescent="0.3">
      <c r="A19" s="18"/>
      <c r="B19" s="26"/>
      <c r="C19" s="18"/>
      <c r="D19" s="18"/>
      <c r="E19" s="18"/>
      <c r="F19" s="26"/>
      <c r="G19" s="18"/>
      <c r="H19" s="18"/>
      <c r="I19" s="18"/>
      <c r="J19" s="18"/>
      <c r="K19" s="1"/>
      <c r="L19" s="1"/>
      <c r="Q19" s="3"/>
    </row>
    <row r="20" spans="1:17" s="2" customFormat="1" ht="18" x14ac:dyDescent="0.35">
      <c r="A20" s="19" t="s">
        <v>21</v>
      </c>
      <c r="B20" s="66">
        <f>((B16-B18)/B16)*100</f>
        <v>52.899403248092611</v>
      </c>
      <c r="C20" s="19"/>
      <c r="D20" s="19" t="s">
        <v>22</v>
      </c>
      <c r="E20" s="19"/>
      <c r="F20" s="66">
        <f>((F16-F18)/F16)*100</f>
        <v>42.839509160878094</v>
      </c>
      <c r="G20" s="73"/>
      <c r="H20" s="18"/>
      <c r="I20" s="18"/>
      <c r="J20" s="18"/>
      <c r="K20" s="1"/>
      <c r="L20" s="1"/>
      <c r="Q20" s="3"/>
    </row>
    <row r="21" spans="1:17" x14ac:dyDescent="0.3">
      <c r="A21" s="18"/>
      <c r="B21" s="18"/>
      <c r="C21" s="18"/>
      <c r="D21" s="18"/>
      <c r="E21" s="18"/>
      <c r="F21" s="106"/>
      <c r="G21" s="18"/>
      <c r="H21" s="18"/>
      <c r="I21" s="18"/>
      <c r="J21" s="18"/>
    </row>
    <row r="22" spans="1:17" s="2" customFormat="1" x14ac:dyDescent="0.3">
      <c r="A22" s="120" t="s">
        <v>60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"/>
      <c r="L22" s="1"/>
      <c r="Q22" s="3"/>
    </row>
    <row r="23" spans="1:17" s="2" customFormat="1" x14ac:dyDescent="0.3">
      <c r="A23" s="18"/>
      <c r="B23" s="106" t="s">
        <v>3</v>
      </c>
      <c r="C23" s="106" t="s">
        <v>4</v>
      </c>
      <c r="D23" s="18"/>
      <c r="E23" s="18"/>
      <c r="F23" s="18"/>
      <c r="G23" s="18"/>
      <c r="H23" s="18"/>
      <c r="I23" s="18"/>
      <c r="J23" s="40"/>
      <c r="K23" s="1"/>
      <c r="L23" s="1"/>
      <c r="Q23" s="3"/>
    </row>
    <row r="24" spans="1:17" s="2" customFormat="1" x14ac:dyDescent="0.3">
      <c r="A24" s="18" t="s">
        <v>48</v>
      </c>
      <c r="B24" s="26">
        <f>D4/D5*100</f>
        <v>100</v>
      </c>
      <c r="C24" s="26">
        <f>E4/E5*100</f>
        <v>100</v>
      </c>
      <c r="D24" s="18"/>
      <c r="E24" s="18"/>
      <c r="F24" s="18"/>
      <c r="G24" s="18"/>
      <c r="H24" s="18"/>
      <c r="I24" s="18"/>
      <c r="J24" s="40"/>
      <c r="K24" s="1"/>
      <c r="L24" s="1"/>
      <c r="Q24" s="3"/>
    </row>
    <row r="25" spans="1:17" x14ac:dyDescent="0.3">
      <c r="A25" s="18" t="s">
        <v>49</v>
      </c>
      <c r="B25" s="26">
        <f>D6/D7*100</f>
        <v>100</v>
      </c>
      <c r="C25" s="26">
        <f>E6/E7*100</f>
        <v>109.09090909090908</v>
      </c>
      <c r="D25" s="18"/>
      <c r="E25" s="18"/>
      <c r="F25" s="18"/>
      <c r="G25" s="18"/>
      <c r="H25" s="18"/>
      <c r="I25" s="18"/>
      <c r="J25" s="40"/>
    </row>
    <row r="26" spans="1:17" x14ac:dyDescent="0.3">
      <c r="A26" s="18"/>
      <c r="B26" s="18"/>
      <c r="C26" s="18"/>
      <c r="D26" s="18"/>
      <c r="E26" s="18"/>
      <c r="F26" s="18"/>
      <c r="G26" s="18"/>
      <c r="H26" s="18"/>
      <c r="I26" s="18"/>
      <c r="J26" s="42"/>
    </row>
    <row r="27" spans="1:17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7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7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7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7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7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</row>
  </sheetData>
  <mergeCells count="8">
    <mergeCell ref="H15:I15"/>
    <mergeCell ref="H16:I16"/>
    <mergeCell ref="A22:J22"/>
    <mergeCell ref="H12:L12"/>
    <mergeCell ref="D2:F2"/>
    <mergeCell ref="I2:K2"/>
    <mergeCell ref="L2:Q2"/>
    <mergeCell ref="H14:I14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5"/>
  <sheetViews>
    <sheetView topLeftCell="B10" workbookViewId="0">
      <selection activeCell="A22" sqref="A22:J22"/>
    </sheetView>
  </sheetViews>
  <sheetFormatPr defaultColWidth="9.109375" defaultRowHeight="14.4" x14ac:dyDescent="0.3"/>
  <cols>
    <col min="1" max="1" width="27.33203125" style="1" customWidth="1"/>
    <col min="2" max="2" width="13.44140625" style="1" customWidth="1"/>
    <col min="3" max="3" width="12.44140625" style="1" customWidth="1"/>
    <col min="4" max="11" width="9.109375" style="1"/>
    <col min="12" max="12" width="11.109375" style="1" customWidth="1"/>
    <col min="13" max="15" width="9.109375" style="2"/>
    <col min="16" max="16" width="9.109375" style="2" customWidth="1"/>
    <col min="17" max="17" width="9.109375" style="3"/>
    <col min="18" max="18" width="9.109375" style="2"/>
    <col min="19" max="16384" width="9.109375" style="1"/>
  </cols>
  <sheetData>
    <row r="1" spans="1:18" ht="18" x14ac:dyDescent="0.35">
      <c r="A1" s="19" t="s">
        <v>0</v>
      </c>
      <c r="B1" s="19"/>
      <c r="C1" s="19"/>
      <c r="D1" s="19"/>
      <c r="E1" s="18"/>
      <c r="F1" s="18"/>
      <c r="G1" s="18"/>
      <c r="H1" s="18"/>
      <c r="I1" s="18"/>
      <c r="J1" s="18"/>
      <c r="K1" s="18"/>
      <c r="L1" s="18"/>
      <c r="M1" s="20"/>
      <c r="N1" s="20"/>
      <c r="O1" s="20"/>
      <c r="P1" s="20"/>
      <c r="Q1" s="21"/>
    </row>
    <row r="2" spans="1:18" x14ac:dyDescent="0.3">
      <c r="A2" s="18"/>
      <c r="B2" s="18"/>
      <c r="C2" s="108" t="s">
        <v>69</v>
      </c>
      <c r="D2" s="118" t="s">
        <v>34</v>
      </c>
      <c r="E2" s="118"/>
      <c r="F2" s="118"/>
      <c r="G2" s="18"/>
      <c r="H2" s="18"/>
      <c r="I2" s="119" t="s">
        <v>2</v>
      </c>
      <c r="J2" s="119"/>
      <c r="K2" s="119"/>
      <c r="L2" s="119" t="s">
        <v>67</v>
      </c>
      <c r="M2" s="119"/>
      <c r="N2" s="119"/>
      <c r="O2" s="119"/>
      <c r="P2" s="119"/>
      <c r="Q2" s="119"/>
    </row>
    <row r="3" spans="1:18" x14ac:dyDescent="0.3">
      <c r="A3" s="18"/>
      <c r="B3" s="18"/>
      <c r="C3" s="108" t="s">
        <v>70</v>
      </c>
      <c r="D3" s="108" t="s">
        <v>3</v>
      </c>
      <c r="E3" s="108" t="s">
        <v>4</v>
      </c>
      <c r="F3" s="108"/>
      <c r="G3" s="18" t="s">
        <v>5</v>
      </c>
      <c r="H3" s="108" t="s">
        <v>6</v>
      </c>
      <c r="I3" s="108" t="s">
        <v>7</v>
      </c>
      <c r="J3" s="108" t="s">
        <v>4</v>
      </c>
      <c r="K3" s="108"/>
      <c r="L3" s="108" t="s">
        <v>7</v>
      </c>
      <c r="M3" s="22"/>
      <c r="N3" s="22" t="s">
        <v>4</v>
      </c>
      <c r="O3" s="22"/>
      <c r="P3" s="22"/>
      <c r="Q3" s="23"/>
    </row>
    <row r="4" spans="1:18" x14ac:dyDescent="0.3">
      <c r="A4" s="18" t="s">
        <v>73</v>
      </c>
      <c r="B4" s="18" t="s">
        <v>8</v>
      </c>
      <c r="C4" s="45">
        <v>3940</v>
      </c>
      <c r="D4" s="45">
        <v>14</v>
      </c>
      <c r="E4" s="45">
        <v>0.46</v>
      </c>
      <c r="F4" s="4"/>
      <c r="G4" s="108">
        <v>188</v>
      </c>
      <c r="H4" s="108">
        <v>280</v>
      </c>
      <c r="I4" s="108">
        <v>25.7</v>
      </c>
      <c r="J4" s="108">
        <v>5</v>
      </c>
      <c r="K4" s="108"/>
      <c r="L4" s="49">
        <f>(C4*D4/6.25-(H4-G4)*I4)/1000</f>
        <v>6.4612000000000007</v>
      </c>
      <c r="M4" s="48"/>
      <c r="N4" s="48">
        <f>(C4*E4-(H4-G4)*J4)/1000</f>
        <v>1.3524</v>
      </c>
      <c r="O4" s="14"/>
      <c r="P4" s="14"/>
      <c r="Q4" s="15"/>
    </row>
    <row r="5" spans="1:18" x14ac:dyDescent="0.3">
      <c r="A5" s="18"/>
      <c r="B5" s="18"/>
      <c r="C5" s="108">
        <v>3940</v>
      </c>
      <c r="D5" s="22">
        <v>14</v>
      </c>
      <c r="E5" s="22">
        <v>0.46</v>
      </c>
      <c r="F5" s="4"/>
      <c r="G5" s="108"/>
      <c r="H5" s="108"/>
      <c r="I5" s="108"/>
      <c r="J5" s="108"/>
      <c r="K5" s="108"/>
      <c r="L5" s="49"/>
      <c r="M5" s="48"/>
      <c r="N5" s="48"/>
      <c r="O5" s="14"/>
      <c r="P5" s="14"/>
      <c r="Q5" s="15"/>
    </row>
    <row r="6" spans="1:18" s="17" customFormat="1" x14ac:dyDescent="0.3">
      <c r="A6" s="20" t="s">
        <v>11</v>
      </c>
      <c r="B6" s="20" t="s">
        <v>8</v>
      </c>
      <c r="C6" s="45">
        <v>450</v>
      </c>
      <c r="D6" s="45">
        <v>19</v>
      </c>
      <c r="E6" s="45">
        <v>0.6</v>
      </c>
      <c r="F6" s="45"/>
      <c r="G6" s="86">
        <v>10</v>
      </c>
      <c r="H6" s="86">
        <v>35</v>
      </c>
      <c r="I6" s="22">
        <v>30.4</v>
      </c>
      <c r="J6" s="22">
        <v>5</v>
      </c>
      <c r="K6" s="22"/>
      <c r="L6" s="48">
        <f>(C6*D6/6.25-(H6-G6)*I6)/1000</f>
        <v>0.60799999999999998</v>
      </c>
      <c r="M6" s="48"/>
      <c r="N6" s="48">
        <f>(C6*E6-(H6-G6)*J6)/1000</f>
        <v>0.14499999999999999</v>
      </c>
      <c r="O6" s="14"/>
      <c r="P6" s="14"/>
      <c r="Q6" s="15"/>
      <c r="R6" s="2"/>
    </row>
    <row r="7" spans="1:18" x14ac:dyDescent="0.3">
      <c r="A7" s="20"/>
      <c r="B7" s="20" t="s">
        <v>31</v>
      </c>
      <c r="C7" s="108">
        <v>360</v>
      </c>
      <c r="D7" s="108">
        <v>18.100000000000001</v>
      </c>
      <c r="E7" s="108">
        <v>0.55000000000000004</v>
      </c>
      <c r="F7" s="4"/>
      <c r="G7" s="4"/>
      <c r="H7" s="4"/>
      <c r="I7" s="22"/>
      <c r="J7" s="22"/>
      <c r="K7" s="22"/>
      <c r="L7" s="48"/>
      <c r="M7" s="48"/>
      <c r="N7" s="48"/>
      <c r="O7" s="14"/>
      <c r="P7" s="14"/>
      <c r="Q7" s="15"/>
    </row>
    <row r="8" spans="1:18" s="11" customFormat="1" x14ac:dyDescent="0.3">
      <c r="A8" s="44"/>
      <c r="B8" s="44" t="s">
        <v>39</v>
      </c>
      <c r="C8" s="68">
        <f>J15*(H6-G6)</f>
        <v>441.375</v>
      </c>
      <c r="D8" s="24"/>
      <c r="E8" s="24"/>
      <c r="F8" s="9"/>
      <c r="G8" s="67"/>
      <c r="H8" s="9"/>
      <c r="I8" s="24"/>
      <c r="J8" s="24"/>
      <c r="K8" s="24"/>
      <c r="L8" s="25"/>
      <c r="M8" s="25"/>
      <c r="N8" s="25"/>
      <c r="O8" s="10"/>
      <c r="P8" s="10"/>
      <c r="Q8" s="10"/>
      <c r="R8" s="6"/>
    </row>
    <row r="9" spans="1:18" s="2" customFormat="1" x14ac:dyDescent="0.3">
      <c r="C9" s="4"/>
      <c r="D9" s="4"/>
      <c r="E9" s="4"/>
      <c r="F9" s="4"/>
      <c r="G9" s="12"/>
      <c r="H9" s="4"/>
      <c r="I9" s="4"/>
      <c r="J9" s="4"/>
      <c r="K9" s="4"/>
      <c r="L9" s="13"/>
      <c r="M9" s="14"/>
      <c r="N9" s="14"/>
      <c r="O9" s="14"/>
      <c r="P9" s="14"/>
      <c r="Q9" s="15"/>
    </row>
    <row r="10" spans="1:18" s="2" customFormat="1" x14ac:dyDescent="0.3">
      <c r="C10" s="5"/>
      <c r="D10" s="5"/>
      <c r="E10" s="5"/>
      <c r="F10" s="5"/>
      <c r="G10" s="16"/>
      <c r="H10" s="5"/>
      <c r="I10" s="5"/>
      <c r="J10" s="5"/>
      <c r="K10" s="5"/>
      <c r="L10" s="14"/>
      <c r="M10" s="14"/>
      <c r="N10" s="14"/>
      <c r="O10" s="14"/>
      <c r="P10" s="14"/>
      <c r="Q10" s="15"/>
    </row>
    <row r="11" spans="1:18" s="2" customFormat="1" ht="15.6" x14ac:dyDescent="0.3">
      <c r="A11" s="18" t="s">
        <v>29</v>
      </c>
      <c r="B11" s="45">
        <v>130</v>
      </c>
      <c r="C11" s="1"/>
      <c r="D11" s="1"/>
      <c r="E11" s="1"/>
      <c r="F11" s="1"/>
      <c r="G11" s="12"/>
      <c r="H11" s="70"/>
      <c r="I11" s="71"/>
      <c r="J11" s="71"/>
      <c r="K11" s="71"/>
      <c r="L11" s="72"/>
      <c r="M11" s="51"/>
      <c r="N11" s="51"/>
      <c r="O11" s="51"/>
      <c r="P11" s="52"/>
      <c r="Q11" s="15"/>
    </row>
    <row r="12" spans="1:18" s="2" customFormat="1" ht="15.6" x14ac:dyDescent="0.3">
      <c r="A12" s="18" t="s">
        <v>15</v>
      </c>
      <c r="B12" s="45">
        <v>3250</v>
      </c>
      <c r="C12" s="1"/>
      <c r="D12" s="1"/>
      <c r="E12" s="1"/>
      <c r="F12" s="1"/>
      <c r="G12" s="12"/>
      <c r="H12" s="121" t="s">
        <v>50</v>
      </c>
      <c r="I12" s="122"/>
      <c r="J12" s="123"/>
      <c r="K12" s="123"/>
      <c r="L12" s="123"/>
      <c r="M12" s="54"/>
      <c r="N12" s="54"/>
      <c r="O12" s="54"/>
      <c r="P12" s="55"/>
      <c r="Q12" s="15"/>
    </row>
    <row r="13" spans="1:18" s="2" customFormat="1" ht="15.6" x14ac:dyDescent="0.3">
      <c r="A13" s="20"/>
      <c r="B13" s="5"/>
      <c r="C13" s="1"/>
      <c r="D13" s="1"/>
      <c r="E13" s="1"/>
      <c r="F13" s="1"/>
      <c r="G13" s="12"/>
      <c r="H13" s="107"/>
      <c r="I13" s="39"/>
      <c r="J13" s="69"/>
      <c r="K13" s="69"/>
      <c r="L13" s="53"/>
      <c r="M13" s="54"/>
      <c r="N13" s="54"/>
      <c r="O13" s="54"/>
      <c r="P13" s="55"/>
      <c r="Q13" s="15"/>
    </row>
    <row r="14" spans="1:18" s="2" customFormat="1" ht="15.6" x14ac:dyDescent="0.3">
      <c r="A14" s="18"/>
      <c r="B14" s="22"/>
      <c r="C14" s="18"/>
      <c r="D14" s="18"/>
      <c r="E14" s="18"/>
      <c r="F14" s="18"/>
      <c r="G14" s="18"/>
      <c r="H14" s="113" t="s">
        <v>42</v>
      </c>
      <c r="I14" s="112"/>
      <c r="J14" s="36">
        <f>C6/(H6-G6)</f>
        <v>18</v>
      </c>
      <c r="K14" s="33" t="s">
        <v>41</v>
      </c>
      <c r="L14" s="34"/>
      <c r="M14" s="34"/>
      <c r="N14" s="34"/>
      <c r="O14" s="90">
        <f>G6</f>
        <v>10</v>
      </c>
      <c r="P14" s="91">
        <f>H6</f>
        <v>35</v>
      </c>
      <c r="Q14" s="15"/>
    </row>
    <row r="15" spans="1:18" s="2" customFormat="1" ht="15.6" x14ac:dyDescent="0.3">
      <c r="A15" s="18"/>
      <c r="B15" s="108"/>
      <c r="C15" s="18"/>
      <c r="D15" s="18"/>
      <c r="E15" s="18"/>
      <c r="F15" s="18"/>
      <c r="G15" s="18"/>
      <c r="H15" s="111" t="s">
        <v>43</v>
      </c>
      <c r="I15" s="112"/>
      <c r="J15" s="36">
        <f>J14+0.069*(30-H6)</f>
        <v>17.655000000000001</v>
      </c>
      <c r="K15" s="33" t="s">
        <v>40</v>
      </c>
      <c r="L15" s="34"/>
      <c r="M15" s="34"/>
      <c r="N15" s="34"/>
      <c r="O15" s="34"/>
      <c r="P15" s="35"/>
      <c r="Q15" s="15"/>
    </row>
    <row r="16" spans="1:18" s="2" customFormat="1" ht="15.6" x14ac:dyDescent="0.3">
      <c r="A16" s="18" t="s">
        <v>17</v>
      </c>
      <c r="B16" s="26">
        <f>((B11*C4*D4+B12*C6*D6)/6.25)/1000</f>
        <v>5593.3280000000004</v>
      </c>
      <c r="C16" s="18"/>
      <c r="D16" s="18" t="s">
        <v>18</v>
      </c>
      <c r="E16" s="18"/>
      <c r="F16" s="26">
        <f>(B11*C4*E4+B12*C6*E6)/1000</f>
        <v>1113.1120000000001</v>
      </c>
      <c r="G16" s="18"/>
      <c r="H16" s="113" t="s">
        <v>31</v>
      </c>
      <c r="I16" s="112"/>
      <c r="J16" s="36">
        <v>18</v>
      </c>
      <c r="K16" s="33" t="s">
        <v>44</v>
      </c>
      <c r="L16" s="34"/>
      <c r="M16" s="34"/>
      <c r="N16" s="34"/>
      <c r="O16" s="59"/>
      <c r="P16" s="60"/>
      <c r="Q16" s="3"/>
    </row>
    <row r="17" spans="1:17" s="2" customFormat="1" ht="15.6" x14ac:dyDescent="0.3">
      <c r="A17" s="18"/>
      <c r="B17" s="26"/>
      <c r="C17" s="18"/>
      <c r="D17" s="18"/>
      <c r="E17" s="18"/>
      <c r="F17" s="26"/>
      <c r="G17" s="18"/>
      <c r="H17" s="61"/>
      <c r="I17" s="62"/>
      <c r="J17" s="62"/>
      <c r="K17" s="62"/>
      <c r="L17" s="62"/>
      <c r="M17" s="64"/>
      <c r="N17" s="64"/>
      <c r="O17" s="64"/>
      <c r="P17" s="65"/>
      <c r="Q17" s="3"/>
    </row>
    <row r="18" spans="1:17" s="2" customFormat="1" x14ac:dyDescent="0.3">
      <c r="A18" s="18" t="s">
        <v>19</v>
      </c>
      <c r="B18" s="26">
        <f>B11*L4+B12*L6</f>
        <v>2815.9560000000001</v>
      </c>
      <c r="C18" s="18"/>
      <c r="D18" s="18" t="s">
        <v>20</v>
      </c>
      <c r="E18" s="18"/>
      <c r="F18" s="26">
        <f>B11*N4+B12*N6</f>
        <v>647.0619999999999</v>
      </c>
      <c r="G18" s="18"/>
      <c r="H18" s="18"/>
      <c r="I18" s="18"/>
      <c r="J18" s="18"/>
      <c r="K18" s="18"/>
      <c r="L18" s="18"/>
      <c r="M18" s="22"/>
      <c r="N18" s="20"/>
      <c r="O18" s="20"/>
      <c r="P18" s="20"/>
      <c r="Q18" s="3"/>
    </row>
    <row r="19" spans="1:17" s="2" customFormat="1" x14ac:dyDescent="0.3">
      <c r="A19" s="18"/>
      <c r="B19" s="26"/>
      <c r="C19" s="18"/>
      <c r="D19" s="18"/>
      <c r="E19" s="18"/>
      <c r="F19" s="26"/>
      <c r="G19" s="18"/>
      <c r="H19" s="18"/>
      <c r="I19" s="18"/>
      <c r="J19" s="18"/>
      <c r="K19" s="18"/>
      <c r="L19" s="18"/>
      <c r="M19" s="20"/>
      <c r="N19" s="20"/>
      <c r="O19" s="20"/>
      <c r="Q19" s="3"/>
    </row>
    <row r="20" spans="1:17" s="2" customFormat="1" ht="18" x14ac:dyDescent="0.35">
      <c r="A20" s="19" t="s">
        <v>21</v>
      </c>
      <c r="B20" s="66">
        <f>((B16-B18)/B16)*100</f>
        <v>49.655089063255367</v>
      </c>
      <c r="C20" s="19"/>
      <c r="D20" s="19" t="s">
        <v>22</v>
      </c>
      <c r="E20" s="19"/>
      <c r="F20" s="66">
        <f>((F16-F18)/F16)*100</f>
        <v>41.869102120900699</v>
      </c>
      <c r="G20" s="73"/>
      <c r="H20" s="18"/>
      <c r="I20" s="18"/>
      <c r="J20" s="18"/>
      <c r="K20" s="18"/>
      <c r="L20" s="18"/>
      <c r="M20" s="20"/>
      <c r="N20" s="20"/>
      <c r="O20" s="20"/>
      <c r="Q20" s="3"/>
    </row>
    <row r="21" spans="1:17" x14ac:dyDescent="0.3">
      <c r="A21" s="18"/>
      <c r="B21" s="18"/>
      <c r="C21" s="18"/>
      <c r="D21" s="18"/>
      <c r="E21" s="18"/>
      <c r="F21" s="108"/>
      <c r="G21" s="18"/>
      <c r="H21" s="18"/>
      <c r="I21" s="18"/>
      <c r="J21" s="18"/>
      <c r="K21" s="18"/>
      <c r="L21" s="18"/>
      <c r="M21" s="20"/>
      <c r="N21" s="20"/>
      <c r="O21" s="20"/>
    </row>
    <row r="22" spans="1:17" s="2" customFormat="1" x14ac:dyDescent="0.3">
      <c r="A22" s="120" t="s">
        <v>60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8"/>
      <c r="L22" s="18"/>
      <c r="M22" s="20"/>
      <c r="N22" s="20"/>
      <c r="O22" s="20"/>
      <c r="Q22" s="3"/>
    </row>
    <row r="23" spans="1:17" s="2" customFormat="1" x14ac:dyDescent="0.3">
      <c r="A23" s="18"/>
      <c r="B23" s="108" t="s">
        <v>3</v>
      </c>
      <c r="C23" s="108" t="s">
        <v>4</v>
      </c>
      <c r="D23" s="18"/>
      <c r="E23" s="18"/>
      <c r="F23" s="18"/>
      <c r="G23" s="18"/>
      <c r="H23" s="18"/>
      <c r="I23" s="18"/>
      <c r="J23" s="40"/>
      <c r="K23" s="18"/>
      <c r="L23" s="18"/>
      <c r="M23" s="20"/>
      <c r="N23" s="20"/>
      <c r="O23" s="20"/>
      <c r="Q23" s="3"/>
    </row>
    <row r="24" spans="1:17" s="2" customFormat="1" x14ac:dyDescent="0.3">
      <c r="A24" s="18" t="s">
        <v>48</v>
      </c>
      <c r="B24" s="26">
        <f>D4/D5*100</f>
        <v>100</v>
      </c>
      <c r="C24" s="26">
        <f>E4/E5*100</f>
        <v>100</v>
      </c>
      <c r="D24" s="18"/>
      <c r="E24" s="18"/>
      <c r="F24" s="18"/>
      <c r="G24" s="18"/>
      <c r="H24" s="18"/>
      <c r="I24" s="18"/>
      <c r="J24" s="40"/>
      <c r="K24" s="18"/>
      <c r="L24" s="18"/>
      <c r="M24" s="20"/>
      <c r="N24" s="20"/>
      <c r="O24" s="20"/>
      <c r="Q24" s="3"/>
    </row>
    <row r="25" spans="1:17" x14ac:dyDescent="0.3">
      <c r="A25" s="18" t="s">
        <v>49</v>
      </c>
      <c r="B25" s="26">
        <f>D6/D7*100</f>
        <v>104.97237569060773</v>
      </c>
      <c r="C25" s="26">
        <f>E6/E7*100</f>
        <v>109.09090909090908</v>
      </c>
      <c r="D25" s="18"/>
      <c r="E25" s="18"/>
      <c r="F25" s="18"/>
      <c r="G25" s="18"/>
      <c r="H25" s="18"/>
      <c r="I25" s="18"/>
      <c r="J25" s="40"/>
      <c r="K25" s="18"/>
      <c r="L25" s="18"/>
      <c r="M25" s="20"/>
      <c r="N25" s="20"/>
      <c r="O25" s="20"/>
    </row>
    <row r="26" spans="1:17" x14ac:dyDescent="0.3">
      <c r="A26" s="18"/>
      <c r="B26" s="18"/>
      <c r="C26" s="18"/>
      <c r="D26" s="18"/>
      <c r="E26" s="18"/>
      <c r="F26" s="18"/>
      <c r="G26" s="18"/>
      <c r="H26" s="18"/>
      <c r="I26" s="18"/>
      <c r="J26" s="42"/>
      <c r="K26" s="18"/>
      <c r="L26" s="18"/>
      <c r="M26" s="20"/>
      <c r="N26" s="20"/>
      <c r="O26" s="20"/>
    </row>
    <row r="27" spans="1:17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0"/>
      <c r="N27" s="20"/>
      <c r="O27" s="20"/>
    </row>
    <row r="28" spans="1:17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0"/>
      <c r="N28" s="20"/>
      <c r="O28" s="20"/>
    </row>
    <row r="29" spans="1:17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0"/>
      <c r="N29" s="20"/>
      <c r="O29" s="20"/>
    </row>
    <row r="30" spans="1:17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0"/>
      <c r="N30" s="20"/>
      <c r="O30" s="20"/>
    </row>
    <row r="31" spans="1:17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0"/>
      <c r="N31" s="20"/>
      <c r="O31" s="20"/>
    </row>
    <row r="32" spans="1:17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0"/>
      <c r="N32" s="20"/>
      <c r="O32" s="20"/>
    </row>
    <row r="33" spans="1:15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0"/>
      <c r="N33" s="20"/>
      <c r="O33" s="20"/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0"/>
      <c r="N34" s="20"/>
      <c r="O34" s="20"/>
    </row>
    <row r="35" spans="1:15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0"/>
      <c r="N35" s="20"/>
      <c r="O35" s="20"/>
    </row>
  </sheetData>
  <mergeCells count="8">
    <mergeCell ref="H16:I16"/>
    <mergeCell ref="A22:J22"/>
    <mergeCell ref="D2:F2"/>
    <mergeCell ref="I2:K2"/>
    <mergeCell ref="L2:Q2"/>
    <mergeCell ref="H12:L12"/>
    <mergeCell ref="H14:I14"/>
    <mergeCell ref="H15:I15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3"/>
  <sheetViews>
    <sheetView topLeftCell="B7" workbookViewId="0">
      <selection activeCell="B18" sqref="B18"/>
    </sheetView>
  </sheetViews>
  <sheetFormatPr defaultColWidth="9.109375" defaultRowHeight="14.4" x14ac:dyDescent="0.3"/>
  <cols>
    <col min="1" max="1" width="32" style="1" customWidth="1"/>
    <col min="2" max="2" width="13.44140625" style="1" customWidth="1"/>
    <col min="3" max="3" width="12.44140625" style="1" customWidth="1"/>
    <col min="4" max="10" width="9.109375" style="1"/>
    <col min="11" max="11" width="4" style="1" customWidth="1"/>
    <col min="12" max="12" width="11.109375" style="1" customWidth="1"/>
    <col min="13" max="13" width="3.6640625" style="2" customWidth="1"/>
    <col min="14" max="15" width="9.109375" style="2"/>
    <col min="16" max="16" width="9.109375" style="2" customWidth="1"/>
    <col min="17" max="17" width="9.109375" style="3"/>
    <col min="18" max="18" width="9.109375" style="2"/>
    <col min="19" max="16384" width="9.109375" style="1"/>
  </cols>
  <sheetData>
    <row r="1" spans="1:18" ht="18" x14ac:dyDescent="0.35">
      <c r="A1" s="19" t="s">
        <v>0</v>
      </c>
      <c r="B1" s="19"/>
      <c r="C1" s="19"/>
      <c r="D1" s="19"/>
      <c r="E1" s="18"/>
      <c r="F1" s="18"/>
      <c r="G1" s="18"/>
      <c r="H1" s="18"/>
      <c r="I1" s="18"/>
      <c r="J1" s="18"/>
      <c r="K1" s="18"/>
      <c r="L1" s="18"/>
      <c r="M1" s="20"/>
      <c r="N1" s="20"/>
      <c r="O1" s="20"/>
      <c r="P1" s="20"/>
      <c r="Q1" s="21"/>
    </row>
    <row r="2" spans="1:18" x14ac:dyDescent="0.3">
      <c r="A2" s="18"/>
      <c r="B2" s="18"/>
      <c r="C2" s="108" t="s">
        <v>63</v>
      </c>
      <c r="D2" s="118" t="s">
        <v>35</v>
      </c>
      <c r="E2" s="118"/>
      <c r="F2" s="118"/>
      <c r="G2" s="18"/>
      <c r="H2" s="18"/>
      <c r="I2" s="119" t="s">
        <v>2</v>
      </c>
      <c r="J2" s="119"/>
      <c r="K2" s="119"/>
      <c r="L2" s="119" t="s">
        <v>53</v>
      </c>
      <c r="M2" s="119"/>
      <c r="N2" s="119"/>
      <c r="O2" s="119"/>
      <c r="P2" s="119"/>
      <c r="Q2" s="119"/>
    </row>
    <row r="3" spans="1:18" x14ac:dyDescent="0.3">
      <c r="A3" s="18"/>
      <c r="B3" s="18"/>
      <c r="C3" s="108" t="s">
        <v>70</v>
      </c>
      <c r="D3" s="108" t="s">
        <v>3</v>
      </c>
      <c r="E3" s="108" t="s">
        <v>4</v>
      </c>
      <c r="F3" s="108"/>
      <c r="G3" s="18" t="s">
        <v>5</v>
      </c>
      <c r="H3" s="108" t="s">
        <v>6</v>
      </c>
      <c r="I3" s="108" t="s">
        <v>7</v>
      </c>
      <c r="J3" s="108" t="s">
        <v>4</v>
      </c>
      <c r="K3" s="108"/>
      <c r="L3" s="108" t="s">
        <v>7</v>
      </c>
      <c r="M3" s="22"/>
      <c r="N3" s="22" t="s">
        <v>4</v>
      </c>
      <c r="O3" s="22"/>
      <c r="P3" s="22"/>
      <c r="Q3" s="23"/>
    </row>
    <row r="4" spans="1:18" x14ac:dyDescent="0.3">
      <c r="A4" s="18" t="s">
        <v>10</v>
      </c>
      <c r="B4" s="18" t="s">
        <v>8</v>
      </c>
      <c r="C4" s="45">
        <v>2722</v>
      </c>
      <c r="D4" s="45">
        <v>12.4</v>
      </c>
      <c r="E4" s="45">
        <v>0.37</v>
      </c>
      <c r="F4" s="4"/>
      <c r="G4" s="108">
        <v>185</v>
      </c>
      <c r="H4" s="108">
        <v>214</v>
      </c>
      <c r="I4" s="108">
        <v>26</v>
      </c>
      <c r="J4" s="108">
        <v>5</v>
      </c>
      <c r="K4" s="108"/>
      <c r="L4" s="49">
        <f>(C4*D4/6.25-(H4-G4)*I4)/1000</f>
        <v>4.6464480000000004</v>
      </c>
      <c r="M4" s="48"/>
      <c r="N4" s="48">
        <f>(C4*E4-(H4-G4)*J4)/1000</f>
        <v>0.86214000000000002</v>
      </c>
      <c r="O4" s="14"/>
      <c r="P4" s="14"/>
      <c r="Q4" s="15"/>
    </row>
    <row r="5" spans="1:18" x14ac:dyDescent="0.3">
      <c r="A5" s="18"/>
      <c r="B5" s="18"/>
      <c r="C5" s="108">
        <v>2722</v>
      </c>
      <c r="D5" s="22">
        <v>12.4</v>
      </c>
      <c r="E5" s="22">
        <v>0.37</v>
      </c>
      <c r="F5" s="4"/>
      <c r="G5" s="4"/>
      <c r="H5" s="4"/>
      <c r="I5" s="4"/>
      <c r="J5" s="4"/>
      <c r="K5" s="4"/>
      <c r="L5" s="47"/>
      <c r="M5" s="46"/>
      <c r="N5" s="46"/>
      <c r="O5" s="14"/>
      <c r="P5" s="14"/>
      <c r="Q5" s="15"/>
    </row>
    <row r="6" spans="1:18" s="11" customFormat="1" x14ac:dyDescent="0.3">
      <c r="A6" s="44" t="s">
        <v>12</v>
      </c>
      <c r="B6" s="44" t="s">
        <v>8</v>
      </c>
      <c r="C6" s="7">
        <v>3144</v>
      </c>
      <c r="D6" s="7">
        <v>14.9</v>
      </c>
      <c r="E6" s="7">
        <v>0.43</v>
      </c>
      <c r="F6" s="7"/>
      <c r="G6" s="8">
        <v>30</v>
      </c>
      <c r="H6" s="7">
        <v>140</v>
      </c>
      <c r="I6" s="24">
        <v>29.6</v>
      </c>
      <c r="J6" s="24">
        <v>5.5</v>
      </c>
      <c r="K6" s="24"/>
      <c r="L6" s="50">
        <f>(C6*D6/6.25-(H6-G6)*I6)/1000</f>
        <v>4.2392959999999995</v>
      </c>
      <c r="M6" s="50"/>
      <c r="N6" s="50">
        <f>(C6*E6-(H6-G6)*J6)/1000</f>
        <v>0.74692000000000003</v>
      </c>
      <c r="O6" s="10"/>
      <c r="P6" s="10"/>
      <c r="Q6" s="10"/>
      <c r="R6" s="6"/>
    </row>
    <row r="7" spans="1:18" s="2" customFormat="1" x14ac:dyDescent="0.3">
      <c r="A7" s="20"/>
      <c r="B7" s="20" t="s">
        <v>31</v>
      </c>
      <c r="C7" s="108">
        <v>3144</v>
      </c>
      <c r="D7" s="22" t="s">
        <v>32</v>
      </c>
      <c r="E7" s="22" t="s">
        <v>33</v>
      </c>
      <c r="F7" s="108"/>
      <c r="G7" s="12"/>
      <c r="H7" s="4"/>
      <c r="I7" s="108"/>
      <c r="J7" s="108"/>
      <c r="K7" s="108"/>
      <c r="L7" s="49"/>
      <c r="M7" s="48"/>
      <c r="N7" s="48"/>
      <c r="O7" s="14"/>
      <c r="P7" s="14"/>
      <c r="Q7" s="15"/>
    </row>
    <row r="8" spans="1:18" s="2" customFormat="1" x14ac:dyDescent="0.3">
      <c r="A8" s="20"/>
      <c r="B8" s="20"/>
      <c r="C8" s="22"/>
      <c r="D8" s="22"/>
      <c r="E8" s="22"/>
      <c r="F8" s="22"/>
      <c r="G8" s="16"/>
      <c r="H8" s="5"/>
      <c r="I8" s="5"/>
      <c r="J8" s="5"/>
      <c r="K8" s="5"/>
      <c r="L8" s="14"/>
      <c r="M8" s="14"/>
      <c r="N8" s="14"/>
      <c r="O8" s="14"/>
      <c r="P8" s="14"/>
      <c r="Q8" s="15"/>
    </row>
    <row r="9" spans="1:18" s="2" customFormat="1" x14ac:dyDescent="0.3">
      <c r="A9" s="18" t="s">
        <v>13</v>
      </c>
      <c r="B9" s="17">
        <v>130</v>
      </c>
      <c r="C9" s="1"/>
      <c r="D9" s="1"/>
      <c r="E9" s="1"/>
      <c r="F9" s="1"/>
      <c r="G9" s="12"/>
      <c r="H9" s="4"/>
      <c r="I9" s="4"/>
      <c r="J9" s="4"/>
      <c r="K9" s="4"/>
      <c r="L9" s="13"/>
      <c r="M9" s="14"/>
      <c r="N9" s="14"/>
      <c r="O9" s="14"/>
      <c r="P9" s="14"/>
      <c r="Q9" s="15"/>
    </row>
    <row r="10" spans="1:18" s="2" customFormat="1" x14ac:dyDescent="0.3">
      <c r="A10" s="18" t="s">
        <v>24</v>
      </c>
      <c r="B10" s="17">
        <v>1000</v>
      </c>
      <c r="C10" s="1"/>
      <c r="D10" s="1"/>
      <c r="E10" s="1"/>
      <c r="F10" s="1"/>
      <c r="G10" s="12"/>
      <c r="H10" s="4"/>
      <c r="I10" s="4"/>
      <c r="J10" s="4"/>
      <c r="K10" s="4"/>
      <c r="L10" s="13"/>
      <c r="M10" s="14"/>
      <c r="N10" s="14"/>
      <c r="O10" s="14"/>
      <c r="P10" s="14"/>
      <c r="Q10" s="15"/>
    </row>
    <row r="11" spans="1:18" s="2" customFormat="1" x14ac:dyDescent="0.3">
      <c r="A11" s="18" t="s">
        <v>26</v>
      </c>
      <c r="B11" s="17">
        <v>400</v>
      </c>
      <c r="C11" s="1"/>
      <c r="D11" s="1"/>
      <c r="E11" s="1"/>
      <c r="F11" s="1"/>
      <c r="G11" s="12"/>
      <c r="H11" s="4"/>
      <c r="I11" s="4"/>
      <c r="J11" s="4"/>
      <c r="K11" s="4"/>
      <c r="L11" s="13"/>
      <c r="M11" s="14"/>
      <c r="N11" s="14"/>
      <c r="O11" s="14"/>
      <c r="P11" s="14"/>
      <c r="Q11" s="15"/>
    </row>
    <row r="12" spans="1:18" s="2" customFormat="1" x14ac:dyDescent="0.3">
      <c r="A12" s="18" t="s">
        <v>25</v>
      </c>
      <c r="B12" s="44">
        <f>B10+B11/2</f>
        <v>1200</v>
      </c>
      <c r="C12" s="1"/>
      <c r="D12" s="1"/>
      <c r="E12" s="1"/>
      <c r="F12" s="1"/>
      <c r="G12" s="1"/>
      <c r="H12" s="1"/>
      <c r="I12" s="1"/>
      <c r="J12" s="1"/>
      <c r="K12" s="1"/>
      <c r="L12" s="13"/>
      <c r="M12" s="14"/>
      <c r="N12" s="14"/>
      <c r="O12" s="14"/>
      <c r="P12" s="14"/>
      <c r="Q12" s="15"/>
    </row>
    <row r="13" spans="1:18" s="2" customForma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3"/>
      <c r="M13" s="14"/>
      <c r="N13" s="14"/>
      <c r="O13" s="14"/>
      <c r="P13" s="14"/>
      <c r="Q13" s="15"/>
    </row>
    <row r="14" spans="1:18" s="2" customFormat="1" x14ac:dyDescent="0.3">
      <c r="A14" s="18" t="s">
        <v>17</v>
      </c>
      <c r="B14" s="40">
        <f>((B10*C4*D4+B9*C6*D6)/6.25)/1000</f>
        <v>6374.8364800000008</v>
      </c>
      <c r="C14" s="18"/>
      <c r="D14" s="18" t="s">
        <v>18</v>
      </c>
      <c r="E14" s="18"/>
      <c r="F14" s="40">
        <f>(B10*C4*E4+B9*C6*E6)/1000</f>
        <v>1182.8896000000002</v>
      </c>
      <c r="G14" s="18"/>
      <c r="H14" s="18"/>
      <c r="I14" s="18"/>
      <c r="J14" s="18"/>
      <c r="K14" s="18"/>
      <c r="L14" s="18"/>
      <c r="M14" s="20"/>
      <c r="N14" s="20"/>
      <c r="O14" s="20"/>
      <c r="P14" s="20"/>
      <c r="Q14" s="3"/>
    </row>
    <row r="15" spans="1:18" s="2" customFormat="1" x14ac:dyDescent="0.3">
      <c r="A15" s="18"/>
      <c r="B15" s="40"/>
      <c r="C15" s="18"/>
      <c r="D15" s="18"/>
      <c r="E15" s="18"/>
      <c r="F15" s="40"/>
      <c r="G15" s="18"/>
      <c r="H15" s="18"/>
      <c r="I15" s="18"/>
      <c r="J15" s="18"/>
      <c r="K15" s="18"/>
      <c r="L15" s="18"/>
      <c r="M15" s="20"/>
      <c r="N15" s="20"/>
      <c r="O15" s="20"/>
      <c r="P15" s="20"/>
      <c r="Q15" s="3"/>
    </row>
    <row r="16" spans="1:18" s="2" customFormat="1" x14ac:dyDescent="0.3">
      <c r="A16" s="18" t="s">
        <v>19</v>
      </c>
      <c r="B16" s="40">
        <f>B12*L4+B9*L6</f>
        <v>6126.8460800000003</v>
      </c>
      <c r="C16" s="18"/>
      <c r="D16" s="18" t="s">
        <v>20</v>
      </c>
      <c r="E16" s="18"/>
      <c r="F16" s="40">
        <f>B12*N4+B9*N6</f>
        <v>1131.6676</v>
      </c>
      <c r="G16" s="18"/>
      <c r="H16" s="18"/>
      <c r="I16" s="18"/>
      <c r="J16" s="18"/>
      <c r="K16" s="18"/>
      <c r="L16" s="18"/>
      <c r="M16" s="22"/>
      <c r="N16" s="20"/>
      <c r="O16" s="20"/>
      <c r="P16" s="20"/>
      <c r="Q16" s="3"/>
    </row>
    <row r="17" spans="1:17" s="2" customFormat="1" x14ac:dyDescent="0.3">
      <c r="A17" s="18"/>
      <c r="B17" s="40"/>
      <c r="C17" s="18"/>
      <c r="D17" s="18"/>
      <c r="E17" s="18"/>
      <c r="F17" s="40"/>
      <c r="G17" s="18"/>
      <c r="H17" s="18"/>
      <c r="I17" s="18"/>
      <c r="J17" s="18"/>
      <c r="K17" s="18"/>
      <c r="L17" s="18"/>
      <c r="M17" s="20"/>
      <c r="N17" s="20"/>
      <c r="O17" s="20"/>
      <c r="P17" s="20"/>
      <c r="Q17" s="3"/>
    </row>
    <row r="18" spans="1:17" s="2" customFormat="1" ht="18" x14ac:dyDescent="0.35">
      <c r="A18" s="19" t="s">
        <v>21</v>
      </c>
      <c r="B18" s="41">
        <f>((B14-B16)/B14)*100</f>
        <v>3.890145273185118</v>
      </c>
      <c r="C18" s="19"/>
      <c r="D18" s="19" t="s">
        <v>22</v>
      </c>
      <c r="E18" s="19"/>
      <c r="F18" s="41">
        <f>((F14-F16)/F14)*100</f>
        <v>4.3302434986325178</v>
      </c>
      <c r="G18" s="18"/>
      <c r="H18" s="43" t="s">
        <v>61</v>
      </c>
      <c r="I18" s="18"/>
      <c r="J18" s="18"/>
      <c r="K18" s="18"/>
      <c r="L18" s="18"/>
      <c r="M18" s="20"/>
      <c r="N18" s="20"/>
      <c r="O18" s="20"/>
      <c r="P18" s="20"/>
      <c r="Q18" s="3"/>
    </row>
    <row r="19" spans="1:17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0"/>
      <c r="N19" s="20"/>
      <c r="O19" s="20"/>
      <c r="P19" s="20"/>
    </row>
    <row r="20" spans="1:17" s="2" customFormat="1" x14ac:dyDescent="0.3">
      <c r="A20" s="18"/>
      <c r="B20" s="18"/>
      <c r="C20" s="18"/>
      <c r="D20" s="18"/>
      <c r="E20" s="18"/>
      <c r="F20" s="18"/>
      <c r="G20" s="18"/>
      <c r="H20" s="18"/>
      <c r="I20" s="18"/>
      <c r="J20" s="40"/>
      <c r="K20" s="18"/>
      <c r="L20" s="18"/>
      <c r="M20" s="20"/>
      <c r="N20" s="20"/>
      <c r="O20" s="20"/>
      <c r="P20" s="20"/>
      <c r="Q20" s="3"/>
    </row>
    <row r="21" spans="1:17" s="2" customForma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40"/>
      <c r="K21" s="18"/>
      <c r="L21" s="18"/>
      <c r="M21" s="20"/>
      <c r="N21" s="20"/>
      <c r="O21" s="20"/>
      <c r="P21" s="20"/>
      <c r="Q21" s="3"/>
    </row>
    <row r="22" spans="1:17" s="2" customFormat="1" ht="15.6" x14ac:dyDescent="0.3">
      <c r="A22" s="117" t="s">
        <v>60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8"/>
      <c r="L22" s="18"/>
      <c r="M22" s="20"/>
      <c r="N22" s="20"/>
      <c r="O22" s="20"/>
      <c r="P22" s="20"/>
      <c r="Q22" s="3"/>
    </row>
    <row r="23" spans="1:17" x14ac:dyDescent="0.3">
      <c r="A23" s="18"/>
      <c r="B23" s="108" t="s">
        <v>3</v>
      </c>
      <c r="C23" s="108" t="s">
        <v>4</v>
      </c>
      <c r="D23" s="18"/>
      <c r="E23" s="18"/>
      <c r="F23" s="18"/>
      <c r="G23" s="18"/>
      <c r="H23" s="18"/>
      <c r="I23" s="18"/>
      <c r="J23" s="40"/>
      <c r="K23" s="18"/>
      <c r="L23" s="18"/>
      <c r="M23" s="20"/>
      <c r="N23" s="20"/>
      <c r="O23" s="20"/>
      <c r="P23" s="20"/>
    </row>
    <row r="24" spans="1:17" x14ac:dyDescent="0.3">
      <c r="A24" s="18" t="s">
        <v>48</v>
      </c>
      <c r="B24" s="26">
        <f>D4/D5*100</f>
        <v>100</v>
      </c>
      <c r="C24" s="26">
        <f>E4/E5*100</f>
        <v>100</v>
      </c>
      <c r="D24" s="18"/>
      <c r="E24" s="43"/>
      <c r="F24" s="18"/>
      <c r="G24" s="18"/>
      <c r="H24" s="18"/>
      <c r="I24" s="18"/>
      <c r="J24" s="42"/>
      <c r="K24" s="18"/>
      <c r="L24" s="18"/>
      <c r="M24" s="20"/>
      <c r="N24" s="20"/>
      <c r="O24" s="20"/>
      <c r="P24" s="20"/>
    </row>
    <row r="25" spans="1:17" x14ac:dyDescent="0.3">
      <c r="A25" s="18" t="s">
        <v>12</v>
      </c>
      <c r="B25" s="108">
        <f>D6/14.9*100</f>
        <v>100</v>
      </c>
      <c r="C25" s="108">
        <f>E6/0.43*100</f>
        <v>100</v>
      </c>
      <c r="D25" s="18"/>
      <c r="E25" s="18"/>
      <c r="F25" s="18"/>
      <c r="G25" s="18"/>
      <c r="H25" s="18"/>
      <c r="I25" s="18"/>
      <c r="J25" s="18"/>
      <c r="K25" s="18"/>
      <c r="L25" s="18"/>
      <c r="M25" s="20"/>
      <c r="N25" s="20"/>
      <c r="O25" s="20"/>
      <c r="P25" s="20"/>
    </row>
    <row r="26" spans="1:17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0"/>
      <c r="N26" s="20"/>
      <c r="O26" s="20"/>
      <c r="P26" s="20"/>
    </row>
    <row r="27" spans="1:17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0"/>
      <c r="N27" s="20"/>
      <c r="O27" s="20"/>
      <c r="P27" s="20"/>
    </row>
    <row r="28" spans="1:17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0"/>
      <c r="N28" s="20"/>
      <c r="O28" s="20"/>
      <c r="P28" s="20"/>
    </row>
    <row r="29" spans="1:17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0"/>
      <c r="N29" s="20"/>
      <c r="O29" s="20"/>
      <c r="P29" s="20"/>
    </row>
    <row r="30" spans="1:17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0"/>
      <c r="N30" s="20"/>
      <c r="O30" s="20"/>
      <c r="P30" s="20"/>
    </row>
    <row r="31" spans="1:17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0"/>
      <c r="N31" s="20"/>
      <c r="O31" s="20"/>
      <c r="P31" s="20"/>
    </row>
    <row r="32" spans="1:17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0"/>
      <c r="N32" s="20"/>
      <c r="O32" s="20"/>
      <c r="P32" s="20"/>
    </row>
    <row r="33" spans="1:16" x14ac:dyDescent="0.3">
      <c r="A33" s="18"/>
      <c r="B33" s="18"/>
      <c r="C33" s="18"/>
      <c r="D33" s="18"/>
      <c r="E33" s="43"/>
      <c r="F33" s="18"/>
      <c r="G33" s="18"/>
      <c r="H33" s="18"/>
      <c r="I33" s="18"/>
      <c r="J33" s="18"/>
      <c r="K33" s="18"/>
      <c r="L33" s="18"/>
      <c r="M33" s="20"/>
      <c r="N33" s="20"/>
      <c r="O33" s="20"/>
      <c r="P33" s="20"/>
    </row>
  </sheetData>
  <mergeCells count="4">
    <mergeCell ref="D2:F2"/>
    <mergeCell ref="I2:K2"/>
    <mergeCell ref="L2:Q2"/>
    <mergeCell ref="A22:J22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1"/>
  <sheetViews>
    <sheetView topLeftCell="B1" workbookViewId="0">
      <selection activeCell="B18" sqref="B18"/>
    </sheetView>
  </sheetViews>
  <sheetFormatPr defaultColWidth="9.109375" defaultRowHeight="14.4" x14ac:dyDescent="0.3"/>
  <cols>
    <col min="1" max="1" width="32" style="1" customWidth="1"/>
    <col min="2" max="2" width="13.44140625" style="1" customWidth="1"/>
    <col min="3" max="3" width="12.44140625" style="1" customWidth="1"/>
    <col min="4" max="11" width="9.109375" style="1"/>
    <col min="12" max="12" width="11.109375" style="1" customWidth="1"/>
    <col min="13" max="13" width="4.33203125" style="2" customWidth="1"/>
    <col min="14" max="15" width="9.109375" style="2"/>
    <col min="16" max="16" width="9.109375" style="2" customWidth="1"/>
    <col min="17" max="17" width="9.109375" style="3"/>
    <col min="18" max="18" width="9.109375" style="2"/>
    <col min="19" max="16384" width="9.109375" style="1"/>
  </cols>
  <sheetData>
    <row r="1" spans="1:18" ht="18" x14ac:dyDescent="0.35">
      <c r="A1" s="19" t="s">
        <v>0</v>
      </c>
      <c r="B1" s="19"/>
      <c r="C1" s="19"/>
      <c r="D1" s="19"/>
      <c r="E1" s="18"/>
      <c r="F1" s="18"/>
      <c r="G1" s="18"/>
      <c r="H1" s="18"/>
      <c r="I1" s="18"/>
      <c r="J1" s="18"/>
      <c r="K1" s="18"/>
      <c r="L1" s="18"/>
      <c r="M1" s="20"/>
      <c r="N1" s="20"/>
      <c r="O1" s="20"/>
      <c r="P1" s="20"/>
      <c r="Q1" s="21"/>
    </row>
    <row r="2" spans="1:18" x14ac:dyDescent="0.3">
      <c r="A2" s="18"/>
      <c r="B2" s="18"/>
      <c r="C2" s="108" t="s">
        <v>63</v>
      </c>
      <c r="D2" s="118" t="s">
        <v>34</v>
      </c>
      <c r="E2" s="118"/>
      <c r="F2" s="118"/>
      <c r="G2" s="18"/>
      <c r="H2" s="18"/>
      <c r="I2" s="119" t="s">
        <v>2</v>
      </c>
      <c r="J2" s="119"/>
      <c r="K2" s="119"/>
      <c r="L2" s="119" t="s">
        <v>66</v>
      </c>
      <c r="M2" s="119"/>
      <c r="N2" s="119"/>
      <c r="O2" s="119"/>
      <c r="P2" s="119"/>
      <c r="Q2" s="119"/>
    </row>
    <row r="3" spans="1:18" x14ac:dyDescent="0.3">
      <c r="A3" s="18"/>
      <c r="B3" s="18"/>
      <c r="C3" s="108" t="s">
        <v>71</v>
      </c>
      <c r="D3" s="108" t="s">
        <v>3</v>
      </c>
      <c r="E3" s="108" t="s">
        <v>4</v>
      </c>
      <c r="F3" s="108"/>
      <c r="G3" s="18" t="s">
        <v>5</v>
      </c>
      <c r="H3" s="108" t="s">
        <v>6</v>
      </c>
      <c r="I3" s="108" t="s">
        <v>7</v>
      </c>
      <c r="J3" s="108" t="s">
        <v>4</v>
      </c>
      <c r="K3" s="108"/>
      <c r="L3" s="108" t="s">
        <v>7</v>
      </c>
      <c r="M3" s="22"/>
      <c r="N3" s="22" t="s">
        <v>4</v>
      </c>
      <c r="O3" s="22"/>
      <c r="P3" s="22"/>
      <c r="Q3" s="23"/>
    </row>
    <row r="4" spans="1:18" x14ac:dyDescent="0.3">
      <c r="A4" s="18" t="s">
        <v>10</v>
      </c>
      <c r="B4" s="18" t="s">
        <v>8</v>
      </c>
      <c r="C4" s="45">
        <v>2078</v>
      </c>
      <c r="D4" s="45">
        <v>12.8</v>
      </c>
      <c r="E4" s="45">
        <v>0.39</v>
      </c>
      <c r="F4" s="4"/>
      <c r="G4" s="108">
        <v>185</v>
      </c>
      <c r="H4" s="108">
        <v>205</v>
      </c>
      <c r="I4" s="108">
        <v>26</v>
      </c>
      <c r="J4" s="108">
        <v>5</v>
      </c>
      <c r="K4" s="108"/>
      <c r="L4" s="49">
        <f>(C4*D4/6.25-(H4-G4)*I4)/1000</f>
        <v>3.7357440000000004</v>
      </c>
      <c r="M4" s="48"/>
      <c r="N4" s="48">
        <f>(C4*E4-(H4-G4)*J4)/1000</f>
        <v>0.71042000000000005</v>
      </c>
      <c r="O4" s="14"/>
      <c r="P4" s="14"/>
      <c r="Q4" s="15"/>
    </row>
    <row r="5" spans="1:18" x14ac:dyDescent="0.3">
      <c r="A5" s="18"/>
      <c r="B5" s="18" t="s">
        <v>31</v>
      </c>
      <c r="C5" s="108">
        <v>2078</v>
      </c>
      <c r="D5" s="22">
        <v>12.4</v>
      </c>
      <c r="E5" s="22">
        <v>0.37</v>
      </c>
      <c r="F5" s="4"/>
      <c r="G5" s="108"/>
      <c r="H5" s="108"/>
      <c r="I5" s="108"/>
      <c r="J5" s="108"/>
      <c r="K5" s="108"/>
      <c r="L5" s="49"/>
      <c r="M5" s="48"/>
      <c r="N5" s="48"/>
      <c r="O5" s="14"/>
      <c r="P5" s="14"/>
      <c r="Q5" s="15"/>
    </row>
    <row r="6" spans="1:18" s="11" customFormat="1" x14ac:dyDescent="0.3">
      <c r="A6" s="44" t="s">
        <v>12</v>
      </c>
      <c r="B6" s="44" t="s">
        <v>8</v>
      </c>
      <c r="C6" s="7">
        <v>3143</v>
      </c>
      <c r="D6" s="7">
        <v>14.9</v>
      </c>
      <c r="E6" s="7">
        <v>0.43</v>
      </c>
      <c r="F6" s="7"/>
      <c r="G6" s="8">
        <v>30</v>
      </c>
      <c r="H6" s="7">
        <v>140</v>
      </c>
      <c r="I6" s="24">
        <v>29.6</v>
      </c>
      <c r="J6" s="24">
        <v>5.5</v>
      </c>
      <c r="K6" s="24"/>
      <c r="L6" s="50">
        <f>(C6*D6/6.25-(H6-G6)*I6)/1000</f>
        <v>4.2369120000000002</v>
      </c>
      <c r="M6" s="50"/>
      <c r="N6" s="50">
        <f>(C6*E6-(H6-G6)*J6)/1000</f>
        <v>0.74648999999999999</v>
      </c>
      <c r="O6" s="25"/>
      <c r="P6" s="10"/>
      <c r="Q6" s="10"/>
      <c r="R6" s="6"/>
    </row>
    <row r="7" spans="1:18" s="2" customFormat="1" x14ac:dyDescent="0.3">
      <c r="A7" s="20"/>
      <c r="B7" s="20" t="s">
        <v>31</v>
      </c>
      <c r="C7" s="108">
        <v>3144</v>
      </c>
      <c r="D7" s="22" t="s">
        <v>32</v>
      </c>
      <c r="E7" s="22" t="s">
        <v>33</v>
      </c>
      <c r="F7" s="108"/>
      <c r="G7" s="12"/>
      <c r="H7" s="4"/>
      <c r="I7" s="108"/>
      <c r="J7" s="108"/>
      <c r="K7" s="108"/>
      <c r="L7" s="27"/>
      <c r="M7" s="28"/>
      <c r="N7" s="28"/>
      <c r="O7" s="28"/>
      <c r="P7" s="14"/>
      <c r="Q7" s="15"/>
    </row>
    <row r="8" spans="1:18" s="2" customFormat="1" x14ac:dyDescent="0.3">
      <c r="C8" s="5"/>
      <c r="D8" s="5"/>
      <c r="E8" s="5"/>
      <c r="F8" s="5"/>
      <c r="G8" s="16"/>
      <c r="H8" s="5"/>
      <c r="I8" s="5"/>
      <c r="J8" s="5"/>
      <c r="K8" s="5"/>
      <c r="L8" s="14"/>
      <c r="M8" s="14"/>
      <c r="N8" s="14"/>
      <c r="O8" s="14"/>
      <c r="P8" s="14"/>
      <c r="Q8" s="15"/>
    </row>
    <row r="9" spans="1:18" s="2" customFormat="1" x14ac:dyDescent="0.3">
      <c r="A9" s="18" t="s">
        <v>13</v>
      </c>
      <c r="B9" s="45">
        <v>130</v>
      </c>
      <c r="C9" s="1"/>
      <c r="D9" s="1"/>
      <c r="E9" s="1"/>
      <c r="F9" s="1"/>
      <c r="G9" s="12"/>
      <c r="H9" s="4"/>
      <c r="I9" s="4"/>
      <c r="J9" s="4"/>
      <c r="K9" s="4"/>
      <c r="L9" s="13"/>
      <c r="M9" s="14"/>
      <c r="N9" s="14"/>
      <c r="O9" s="14"/>
      <c r="P9" s="14"/>
      <c r="Q9" s="15"/>
    </row>
    <row r="10" spans="1:18" s="2" customFormat="1" x14ac:dyDescent="0.3">
      <c r="A10" s="18" t="s">
        <v>24</v>
      </c>
      <c r="B10" s="45">
        <v>1000</v>
      </c>
      <c r="C10" s="1"/>
      <c r="D10" s="1"/>
      <c r="E10" s="1"/>
      <c r="F10" s="1"/>
      <c r="G10" s="12"/>
      <c r="H10" s="4"/>
      <c r="I10" s="4"/>
      <c r="J10" s="4"/>
      <c r="K10" s="4"/>
      <c r="L10" s="13"/>
      <c r="M10" s="14"/>
      <c r="N10" s="14"/>
      <c r="O10" s="14"/>
      <c r="P10" s="14"/>
      <c r="Q10" s="15"/>
    </row>
    <row r="11" spans="1:18" s="2" customFormat="1" x14ac:dyDescent="0.3">
      <c r="A11" s="18" t="s">
        <v>26</v>
      </c>
      <c r="B11" s="45">
        <v>400</v>
      </c>
      <c r="C11" s="1"/>
      <c r="D11" s="1"/>
      <c r="E11" s="1"/>
      <c r="F11" s="1"/>
      <c r="G11" s="12"/>
      <c r="H11" s="4"/>
      <c r="I11" s="4"/>
      <c r="J11" s="4"/>
      <c r="K11" s="4"/>
      <c r="L11" s="13"/>
      <c r="M11" s="14"/>
      <c r="N11" s="14"/>
      <c r="O11" s="14"/>
      <c r="P11" s="14"/>
      <c r="Q11" s="15"/>
    </row>
    <row r="12" spans="1:18" s="2" customFormat="1" x14ac:dyDescent="0.3">
      <c r="A12" s="18" t="s">
        <v>25</v>
      </c>
      <c r="B12" s="22">
        <f>B10+B11/2</f>
        <v>1200</v>
      </c>
      <c r="C12" s="1"/>
      <c r="D12" s="1"/>
      <c r="E12" s="1"/>
      <c r="F12" s="1"/>
      <c r="G12" s="1"/>
      <c r="H12" s="1"/>
      <c r="I12" s="1"/>
      <c r="J12" s="1"/>
      <c r="K12" s="1"/>
      <c r="L12" s="13"/>
      <c r="M12" s="14"/>
      <c r="N12" s="14"/>
      <c r="O12" s="14"/>
      <c r="P12" s="14"/>
      <c r="Q12" s="15"/>
    </row>
    <row r="13" spans="1:18" s="2" customFormat="1" x14ac:dyDescent="0.3">
      <c r="A13" s="18"/>
      <c r="B13" s="108"/>
      <c r="C13" s="18"/>
      <c r="D13" s="18"/>
      <c r="E13" s="18"/>
      <c r="F13" s="18"/>
      <c r="G13" s="18"/>
      <c r="H13" s="18"/>
      <c r="I13" s="18"/>
      <c r="J13" s="18"/>
      <c r="K13" s="18"/>
      <c r="L13" s="27"/>
      <c r="M13" s="28"/>
      <c r="N13" s="28"/>
      <c r="O13" s="28"/>
      <c r="P13" s="14"/>
      <c r="Q13" s="15"/>
    </row>
    <row r="14" spans="1:18" s="2" customFormat="1" x14ac:dyDescent="0.3">
      <c r="A14" s="18" t="s">
        <v>17</v>
      </c>
      <c r="B14" s="26">
        <f>((B10*C4*D4+B9*C6*D6)/6.25)/1000</f>
        <v>5229.8225599999996</v>
      </c>
      <c r="C14" s="18"/>
      <c r="D14" s="18" t="s">
        <v>18</v>
      </c>
      <c r="E14" s="18"/>
      <c r="F14" s="26">
        <f>(B10*C4*E4+B9*C6*E6)/1000</f>
        <v>986.11369999999999</v>
      </c>
      <c r="G14" s="18"/>
      <c r="H14" s="18"/>
      <c r="I14" s="18"/>
      <c r="J14" s="18"/>
      <c r="K14" s="18"/>
      <c r="L14" s="18"/>
      <c r="M14" s="20"/>
      <c r="N14" s="20"/>
      <c r="O14" s="20"/>
      <c r="Q14" s="3"/>
    </row>
    <row r="15" spans="1:18" s="2" customFormat="1" x14ac:dyDescent="0.3">
      <c r="A15" s="18"/>
      <c r="B15" s="26"/>
      <c r="C15" s="18"/>
      <c r="D15" s="18"/>
      <c r="E15" s="18"/>
      <c r="F15" s="26"/>
      <c r="G15" s="18"/>
      <c r="H15" s="18"/>
      <c r="I15" s="18"/>
      <c r="J15" s="18"/>
      <c r="K15" s="18"/>
      <c r="L15" s="18"/>
      <c r="M15" s="20"/>
      <c r="N15" s="20"/>
      <c r="O15" s="20"/>
      <c r="Q15" s="3"/>
    </row>
    <row r="16" spans="1:18" s="2" customFormat="1" x14ac:dyDescent="0.3">
      <c r="A16" s="18" t="s">
        <v>19</v>
      </c>
      <c r="B16" s="26">
        <f>B12*L4+B9*L6</f>
        <v>5033.6913600000007</v>
      </c>
      <c r="C16" s="18"/>
      <c r="D16" s="18" t="s">
        <v>20</v>
      </c>
      <c r="E16" s="18"/>
      <c r="F16" s="26">
        <f>B12*N4+B9*N6</f>
        <v>949.54770000000008</v>
      </c>
      <c r="G16" s="18"/>
      <c r="H16" s="18"/>
      <c r="I16" s="18"/>
      <c r="J16" s="18"/>
      <c r="K16" s="18"/>
      <c r="L16" s="18"/>
      <c r="M16" s="22"/>
      <c r="N16" s="20"/>
      <c r="O16" s="20"/>
      <c r="Q16" s="3"/>
    </row>
    <row r="17" spans="1:17" s="2" customFormat="1" x14ac:dyDescent="0.3">
      <c r="A17" s="18"/>
      <c r="B17" s="26"/>
      <c r="C17" s="18"/>
      <c r="D17" s="18"/>
      <c r="E17" s="18"/>
      <c r="F17" s="26"/>
      <c r="G17" s="18"/>
      <c r="H17" s="18"/>
      <c r="I17" s="18"/>
      <c r="J17" s="18"/>
      <c r="K17" s="18"/>
      <c r="L17" s="18"/>
      <c r="M17" s="20"/>
      <c r="N17" s="20"/>
      <c r="O17" s="20"/>
      <c r="Q17" s="3"/>
    </row>
    <row r="18" spans="1:17" s="2" customFormat="1" ht="18" x14ac:dyDescent="0.35">
      <c r="A18" s="19" t="s">
        <v>21</v>
      </c>
      <c r="B18" s="66">
        <f>((B14-B16)/B14)*100</f>
        <v>3.7502457827173186</v>
      </c>
      <c r="C18" s="19"/>
      <c r="D18" s="19" t="s">
        <v>22</v>
      </c>
      <c r="E18" s="19"/>
      <c r="F18" s="66">
        <f>((F14-F16)/F14)*100</f>
        <v>3.7080916734043874</v>
      </c>
      <c r="G18" s="18"/>
      <c r="H18" s="43" t="s">
        <v>61</v>
      </c>
      <c r="I18" s="43"/>
      <c r="J18" s="43"/>
      <c r="K18" s="43"/>
      <c r="L18" s="43"/>
      <c r="M18" s="102"/>
      <c r="N18" s="102"/>
      <c r="O18" s="102"/>
      <c r="Q18" s="3"/>
    </row>
    <row r="19" spans="1:17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0"/>
      <c r="N19" s="20"/>
      <c r="O19" s="20"/>
    </row>
    <row r="20" spans="1:17" s="2" customFormat="1" ht="15.6" x14ac:dyDescent="0.3">
      <c r="A20" s="117" t="s">
        <v>60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8"/>
      <c r="L20" s="18"/>
      <c r="M20" s="20"/>
      <c r="N20" s="20"/>
      <c r="O20" s="20"/>
      <c r="Q20" s="3"/>
    </row>
    <row r="21" spans="1:17" s="2" customFormat="1" x14ac:dyDescent="0.3">
      <c r="A21" s="20"/>
      <c r="B21" s="108" t="s">
        <v>3</v>
      </c>
      <c r="C21" s="108" t="s">
        <v>4</v>
      </c>
      <c r="D21" s="18"/>
      <c r="E21" s="18"/>
      <c r="F21" s="18"/>
      <c r="G21" s="18"/>
      <c r="H21" s="18"/>
      <c r="I21" s="18"/>
      <c r="J21" s="40"/>
      <c r="K21" s="18"/>
      <c r="L21" s="18"/>
      <c r="M21" s="20"/>
      <c r="N21" s="20"/>
      <c r="O21" s="20"/>
      <c r="Q21" s="3"/>
    </row>
    <row r="22" spans="1:17" s="2" customFormat="1" x14ac:dyDescent="0.3">
      <c r="A22" s="18" t="s">
        <v>48</v>
      </c>
      <c r="B22" s="26">
        <f>D4/D5*100</f>
        <v>103.2258064516129</v>
      </c>
      <c r="C22" s="26">
        <f>E4/E5*100</f>
        <v>105.40540540540542</v>
      </c>
      <c r="D22" s="43"/>
      <c r="E22" s="18"/>
      <c r="F22" s="18"/>
      <c r="G22" s="18"/>
      <c r="H22" s="18"/>
      <c r="I22" s="18"/>
      <c r="J22" s="40"/>
      <c r="K22" s="18"/>
      <c r="L22" s="18"/>
      <c r="M22" s="20"/>
      <c r="N22" s="20"/>
      <c r="O22" s="20"/>
      <c r="Q22" s="3"/>
    </row>
    <row r="23" spans="1:17" x14ac:dyDescent="0.3">
      <c r="A23" s="18" t="s">
        <v>12</v>
      </c>
      <c r="B23" s="108">
        <f>D6/14.9*100</f>
        <v>100</v>
      </c>
      <c r="C23" s="108">
        <f>E6/0.43*100</f>
        <v>100</v>
      </c>
      <c r="D23" s="18"/>
      <c r="E23" s="18"/>
      <c r="F23" s="18"/>
      <c r="G23" s="18"/>
      <c r="H23" s="18"/>
      <c r="I23" s="18"/>
      <c r="J23" s="40"/>
      <c r="K23" s="18"/>
      <c r="L23" s="18"/>
      <c r="M23" s="20"/>
      <c r="N23" s="20"/>
      <c r="O23" s="20"/>
    </row>
    <row r="24" spans="1:17" x14ac:dyDescent="0.3">
      <c r="A24" s="18"/>
      <c r="B24" s="18"/>
      <c r="C24" s="18"/>
      <c r="D24" s="18"/>
      <c r="E24" s="18"/>
      <c r="F24" s="18"/>
      <c r="G24" s="18"/>
      <c r="H24" s="18"/>
      <c r="I24" s="18"/>
      <c r="J24" s="42"/>
      <c r="K24" s="18"/>
      <c r="L24" s="18"/>
      <c r="M24" s="20"/>
      <c r="N24" s="20"/>
      <c r="O24" s="20"/>
    </row>
    <row r="25" spans="1:17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0"/>
      <c r="N25" s="20"/>
      <c r="O25" s="20"/>
    </row>
    <row r="26" spans="1:17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0"/>
      <c r="N26" s="20"/>
      <c r="O26" s="20"/>
    </row>
    <row r="27" spans="1:17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0"/>
      <c r="N27" s="20"/>
      <c r="O27" s="20"/>
    </row>
    <row r="28" spans="1:17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0"/>
      <c r="N28" s="20"/>
      <c r="O28" s="20"/>
    </row>
    <row r="29" spans="1:17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0"/>
      <c r="N29" s="20"/>
      <c r="O29" s="20"/>
    </row>
    <row r="30" spans="1:17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0"/>
      <c r="N30" s="20"/>
      <c r="O30" s="20"/>
    </row>
    <row r="31" spans="1:17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0"/>
      <c r="N31" s="20"/>
      <c r="O31" s="20"/>
    </row>
  </sheetData>
  <mergeCells count="4">
    <mergeCell ref="D2:F2"/>
    <mergeCell ref="I2:K2"/>
    <mergeCell ref="L2:Q2"/>
    <mergeCell ref="A20:J20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5"/>
  <sheetViews>
    <sheetView topLeftCell="A9" zoomScaleNormal="100" workbookViewId="0">
      <selection activeCell="B19" sqref="B19"/>
    </sheetView>
  </sheetViews>
  <sheetFormatPr defaultColWidth="9.109375" defaultRowHeight="14.4" x14ac:dyDescent="0.3"/>
  <cols>
    <col min="1" max="1" width="25" style="1" customWidth="1"/>
    <col min="2" max="2" width="13.6640625" style="1" customWidth="1"/>
    <col min="3" max="3" width="12.44140625" style="1" customWidth="1"/>
    <col min="4" max="8" width="9.109375" style="1"/>
    <col min="9" max="9" width="17.44140625" style="1" customWidth="1"/>
    <col min="10" max="10" width="9.109375" style="1"/>
    <col min="11" max="11" width="2.109375" style="1" customWidth="1"/>
    <col min="12" max="12" width="11.109375" style="1" customWidth="1"/>
    <col min="13" max="13" width="4" style="2" customWidth="1"/>
    <col min="14" max="15" width="9.109375" style="2"/>
    <col min="16" max="16" width="7" style="2" customWidth="1"/>
    <col min="17" max="17" width="7" style="3" customWidth="1"/>
    <col min="18" max="18" width="9.109375" style="2"/>
    <col min="19" max="16384" width="9.109375" style="1"/>
  </cols>
  <sheetData>
    <row r="1" spans="1:18" ht="18" x14ac:dyDescent="0.35">
      <c r="A1" s="19" t="s">
        <v>0</v>
      </c>
      <c r="B1" s="19"/>
      <c r="C1" s="19"/>
      <c r="D1" s="19"/>
      <c r="E1" s="18"/>
      <c r="F1" s="18"/>
      <c r="G1" s="18"/>
      <c r="H1" s="18"/>
      <c r="I1" s="18"/>
      <c r="J1" s="18"/>
      <c r="K1" s="18"/>
      <c r="L1" s="18"/>
      <c r="M1" s="20"/>
      <c r="N1" s="20"/>
      <c r="O1" s="20"/>
      <c r="P1" s="20"/>
      <c r="Q1" s="21"/>
    </row>
    <row r="2" spans="1:18" x14ac:dyDescent="0.3">
      <c r="A2" s="18"/>
      <c r="B2" s="18"/>
      <c r="C2" s="108" t="s">
        <v>1</v>
      </c>
      <c r="D2" s="118" t="s">
        <v>34</v>
      </c>
      <c r="E2" s="118"/>
      <c r="F2" s="118"/>
      <c r="G2" s="18"/>
      <c r="H2" s="18"/>
      <c r="I2" s="119" t="s">
        <v>2</v>
      </c>
      <c r="J2" s="119"/>
      <c r="K2" s="119"/>
      <c r="L2" s="119" t="s">
        <v>68</v>
      </c>
      <c r="M2" s="119"/>
      <c r="N2" s="119"/>
      <c r="O2" s="119"/>
      <c r="P2" s="119"/>
      <c r="Q2" s="119"/>
    </row>
    <row r="3" spans="1:18" x14ac:dyDescent="0.3">
      <c r="A3" s="18"/>
      <c r="B3" s="18"/>
      <c r="C3" s="108" t="s">
        <v>30</v>
      </c>
      <c r="D3" s="108" t="s">
        <v>3</v>
      </c>
      <c r="E3" s="108" t="s">
        <v>4</v>
      </c>
      <c r="F3" s="108"/>
      <c r="G3" s="18" t="s">
        <v>5</v>
      </c>
      <c r="H3" s="108" t="s">
        <v>6</v>
      </c>
      <c r="I3" s="108" t="s">
        <v>7</v>
      </c>
      <c r="J3" s="108" t="s">
        <v>4</v>
      </c>
      <c r="K3" s="108"/>
      <c r="L3" s="108" t="s">
        <v>7</v>
      </c>
      <c r="M3" s="22"/>
      <c r="N3" s="22" t="s">
        <v>4</v>
      </c>
      <c r="O3" s="22"/>
      <c r="P3" s="22"/>
      <c r="Q3" s="23"/>
    </row>
    <row r="4" spans="1:18" s="11" customFormat="1" x14ac:dyDescent="0.3">
      <c r="A4" s="44" t="s">
        <v>51</v>
      </c>
      <c r="B4" s="44" t="s">
        <v>8</v>
      </c>
      <c r="C4" s="7">
        <v>2300</v>
      </c>
      <c r="D4" s="7">
        <v>15.6</v>
      </c>
      <c r="E4" s="7">
        <v>0.43</v>
      </c>
      <c r="F4" s="7"/>
      <c r="G4" s="8">
        <v>30</v>
      </c>
      <c r="H4" s="7">
        <v>120</v>
      </c>
      <c r="I4" s="24">
        <v>29.6</v>
      </c>
      <c r="J4" s="24">
        <v>5.5</v>
      </c>
      <c r="K4" s="24"/>
      <c r="L4" s="25">
        <f>(C4*D4/6.25-(H4-G4)*I4)/1000</f>
        <v>3.0768</v>
      </c>
      <c r="M4" s="25"/>
      <c r="N4" s="25">
        <f>(C4*E4-(H4-G4)*J4)/1000</f>
        <v>0.49399999999999999</v>
      </c>
      <c r="O4" s="10"/>
      <c r="P4" s="10"/>
      <c r="Q4" s="10"/>
      <c r="R4" s="6"/>
    </row>
    <row r="5" spans="1:18" s="2" customFormat="1" x14ac:dyDescent="0.3">
      <c r="A5" s="20"/>
      <c r="B5" s="20" t="s">
        <v>31</v>
      </c>
      <c r="C5" s="108">
        <v>2220</v>
      </c>
      <c r="D5" s="108">
        <v>14.9</v>
      </c>
      <c r="E5" s="108">
        <v>0.43</v>
      </c>
      <c r="F5" s="108"/>
      <c r="G5" s="12"/>
      <c r="H5" s="4"/>
      <c r="I5" s="108"/>
      <c r="J5" s="108"/>
      <c r="K5" s="108"/>
      <c r="L5" s="27"/>
      <c r="M5" s="28"/>
      <c r="N5" s="28"/>
      <c r="O5" s="14"/>
      <c r="P5" s="14"/>
      <c r="Q5" s="15"/>
    </row>
    <row r="6" spans="1:18" s="2" customFormat="1" x14ac:dyDescent="0.3">
      <c r="A6" s="20"/>
      <c r="B6" s="20" t="s">
        <v>39</v>
      </c>
      <c r="C6" s="29">
        <f>J10*(H4-G4)</f>
        <v>2255.4500000000003</v>
      </c>
      <c r="D6" s="22"/>
      <c r="E6" s="22"/>
      <c r="F6" s="22"/>
      <c r="G6" s="16"/>
      <c r="H6" s="5"/>
      <c r="I6" s="5"/>
      <c r="J6" s="5"/>
      <c r="K6" s="5"/>
      <c r="L6" s="14"/>
      <c r="M6" s="14"/>
      <c r="N6" s="14"/>
      <c r="O6" s="14"/>
      <c r="P6" s="14"/>
      <c r="Q6" s="15"/>
    </row>
    <row r="7" spans="1:18" s="2" customFormat="1" ht="15.6" x14ac:dyDescent="0.3">
      <c r="A7" s="2" t="s">
        <v>36</v>
      </c>
      <c r="B7" s="17">
        <v>12085</v>
      </c>
      <c r="C7" s="18"/>
      <c r="D7" s="18"/>
      <c r="E7" s="18"/>
      <c r="F7" s="18"/>
      <c r="G7" s="12"/>
      <c r="H7" s="108"/>
      <c r="I7" s="109"/>
      <c r="J7" s="32"/>
      <c r="K7" s="32"/>
      <c r="L7" s="33"/>
      <c r="M7" s="34"/>
      <c r="N7" s="34"/>
      <c r="O7" s="34"/>
      <c r="P7" s="34"/>
      <c r="Q7" s="34"/>
    </row>
    <row r="8" spans="1:18" s="2" customFormat="1" ht="15.6" x14ac:dyDescent="0.3">
      <c r="A8" s="2" t="s">
        <v>37</v>
      </c>
      <c r="B8" s="17">
        <v>12000</v>
      </c>
      <c r="C8" s="1"/>
      <c r="D8" s="1"/>
      <c r="E8" s="1"/>
      <c r="F8" s="1"/>
      <c r="G8" s="12"/>
      <c r="H8" s="104"/>
      <c r="I8" s="115" t="s">
        <v>59</v>
      </c>
      <c r="J8" s="128"/>
      <c r="K8" s="128"/>
      <c r="L8" s="128"/>
      <c r="M8" s="128"/>
      <c r="N8" s="128"/>
      <c r="O8" s="128"/>
      <c r="P8" s="128"/>
      <c r="Q8" s="31"/>
    </row>
    <row r="9" spans="1:18" s="2" customFormat="1" ht="15.6" x14ac:dyDescent="0.3">
      <c r="A9" s="20" t="s">
        <v>38</v>
      </c>
      <c r="B9" s="110">
        <f>(B7+B8)/2</f>
        <v>12042.5</v>
      </c>
      <c r="G9" s="12"/>
      <c r="H9" s="113" t="s">
        <v>42</v>
      </c>
      <c r="I9" s="124"/>
      <c r="J9" s="36">
        <f>C4/(H4-G4)</f>
        <v>25.555555555555557</v>
      </c>
      <c r="K9" s="32"/>
      <c r="L9" s="33" t="s">
        <v>41</v>
      </c>
      <c r="M9" s="34"/>
      <c r="N9" s="34"/>
      <c r="O9" s="34"/>
      <c r="P9" s="37">
        <f>G4</f>
        <v>30</v>
      </c>
      <c r="Q9" s="38">
        <f>H4</f>
        <v>120</v>
      </c>
    </row>
    <row r="10" spans="1:18" s="2" customFormat="1" ht="15.6" x14ac:dyDescent="0.3">
      <c r="G10" s="1"/>
      <c r="H10" s="111" t="s">
        <v>43</v>
      </c>
      <c r="I10" s="125"/>
      <c r="J10" s="36">
        <f>J9+0.069*(30-G4)+0.099*(115-H4)</f>
        <v>25.060555555555556</v>
      </c>
      <c r="K10" s="39"/>
      <c r="L10" s="33" t="s">
        <v>40</v>
      </c>
      <c r="M10" s="34"/>
      <c r="N10" s="34"/>
      <c r="O10" s="34"/>
      <c r="P10" s="34"/>
      <c r="Q10" s="35"/>
    </row>
    <row r="11" spans="1:18" s="2" customFormat="1" ht="15.6" x14ac:dyDescent="0.3">
      <c r="G11" s="1"/>
      <c r="H11" s="126" t="s">
        <v>31</v>
      </c>
      <c r="I11" s="127"/>
      <c r="J11" s="81">
        <v>26.1</v>
      </c>
      <c r="K11" s="82"/>
      <c r="L11" s="83" t="s">
        <v>44</v>
      </c>
      <c r="M11" s="84"/>
      <c r="N11" s="84"/>
      <c r="O11" s="84"/>
      <c r="P11" s="84"/>
      <c r="Q11" s="85"/>
    </row>
    <row r="12" spans="1:18" s="2" customFormat="1" x14ac:dyDescent="0.3">
      <c r="G12" s="1"/>
      <c r="H12" s="18"/>
      <c r="I12" s="78"/>
      <c r="J12" s="78"/>
      <c r="K12" s="78"/>
      <c r="L12" s="78"/>
      <c r="M12" s="79"/>
      <c r="N12" s="79"/>
      <c r="O12" s="79"/>
      <c r="P12" s="79"/>
      <c r="Q12" s="80"/>
    </row>
    <row r="13" spans="1:18" s="2" customFormat="1" x14ac:dyDescent="0.3">
      <c r="A13" s="20"/>
      <c r="B13" s="20"/>
      <c r="C13" s="20"/>
      <c r="D13" s="20"/>
      <c r="E13" s="20"/>
      <c r="F13" s="20"/>
      <c r="G13" s="18"/>
      <c r="H13" s="18"/>
      <c r="I13" s="18"/>
      <c r="J13" s="18"/>
      <c r="K13" s="18"/>
      <c r="L13" s="18"/>
      <c r="M13" s="20"/>
      <c r="N13" s="20"/>
      <c r="O13" s="20"/>
      <c r="P13" s="20"/>
      <c r="Q13" s="21"/>
    </row>
    <row r="14" spans="1:18" s="2" customFormat="1" x14ac:dyDescent="0.3">
      <c r="A14" s="20"/>
      <c r="B14" s="20"/>
      <c r="C14" s="20"/>
      <c r="D14" s="20"/>
      <c r="E14" s="20"/>
      <c r="F14" s="20"/>
      <c r="G14" s="18"/>
      <c r="H14" s="18"/>
      <c r="I14" s="18"/>
      <c r="J14" s="18"/>
      <c r="K14" s="18"/>
      <c r="L14" s="18"/>
      <c r="M14" s="22"/>
      <c r="N14" s="20"/>
      <c r="O14" s="20"/>
      <c r="Q14" s="3"/>
    </row>
    <row r="15" spans="1:18" s="2" customFormat="1" x14ac:dyDescent="0.3">
      <c r="A15" s="18" t="s">
        <v>17</v>
      </c>
      <c r="B15" s="40">
        <f>((B8*C4*D4)/6.25)/1000</f>
        <v>68889.600000000006</v>
      </c>
      <c r="C15" s="18"/>
      <c r="D15" s="18" t="s">
        <v>18</v>
      </c>
      <c r="E15" s="18"/>
      <c r="F15" s="40">
        <f>(B7*C4*E4)/1000</f>
        <v>11952.065000000001</v>
      </c>
      <c r="G15" s="18"/>
      <c r="H15" s="18"/>
      <c r="I15" s="18"/>
      <c r="J15" s="18"/>
      <c r="K15" s="18"/>
      <c r="L15" s="18"/>
      <c r="M15" s="20"/>
      <c r="N15" s="20"/>
      <c r="O15" s="20"/>
      <c r="Q15" s="3"/>
    </row>
    <row r="16" spans="1:18" s="2" customFormat="1" x14ac:dyDescent="0.3">
      <c r="A16" s="18"/>
      <c r="B16" s="40"/>
      <c r="C16" s="18"/>
      <c r="D16" s="18"/>
      <c r="E16" s="18"/>
      <c r="F16" s="40"/>
      <c r="G16" s="18"/>
      <c r="H16" s="18"/>
      <c r="I16" s="18"/>
      <c r="J16" s="18"/>
      <c r="K16" s="18"/>
      <c r="L16" s="18"/>
      <c r="M16" s="20"/>
      <c r="N16" s="20"/>
      <c r="O16" s="20"/>
      <c r="Q16" s="3"/>
    </row>
    <row r="17" spans="1:17" x14ac:dyDescent="0.3">
      <c r="A17" s="18" t="s">
        <v>19</v>
      </c>
      <c r="B17" s="40">
        <f>B9*L4</f>
        <v>37052.364000000001</v>
      </c>
      <c r="C17" s="18"/>
      <c r="D17" s="18" t="s">
        <v>20</v>
      </c>
      <c r="E17" s="18"/>
      <c r="F17" s="40">
        <f>B9*N4</f>
        <v>5948.9949999999999</v>
      </c>
      <c r="G17" s="18"/>
      <c r="H17" s="18"/>
      <c r="I17" s="18"/>
      <c r="J17" s="18"/>
      <c r="K17" s="18"/>
      <c r="L17" s="18"/>
      <c r="M17" s="20"/>
      <c r="N17" s="20"/>
      <c r="O17" s="20"/>
    </row>
    <row r="18" spans="1:17" s="2" customFormat="1" x14ac:dyDescent="0.3">
      <c r="A18" s="18"/>
      <c r="B18" s="40"/>
      <c r="C18" s="18"/>
      <c r="D18" s="18"/>
      <c r="E18" s="18"/>
      <c r="F18" s="40"/>
      <c r="G18" s="18"/>
      <c r="H18" s="18"/>
      <c r="I18" s="18"/>
      <c r="J18" s="40"/>
      <c r="K18" s="18"/>
      <c r="L18" s="18"/>
      <c r="M18" s="20"/>
      <c r="N18" s="20"/>
      <c r="O18" s="20"/>
      <c r="Q18" s="3"/>
    </row>
    <row r="19" spans="1:17" s="2" customFormat="1" ht="18" x14ac:dyDescent="0.35">
      <c r="A19" s="19" t="s">
        <v>21</v>
      </c>
      <c r="B19" s="41">
        <f>((B15-B17)/B15)*100</f>
        <v>46.21486552396879</v>
      </c>
      <c r="C19" s="19"/>
      <c r="D19" s="19" t="s">
        <v>22</v>
      </c>
      <c r="E19" s="19"/>
      <c r="F19" s="41">
        <f>((F15-F17)/F15)*100</f>
        <v>50.22621613921946</v>
      </c>
      <c r="G19" s="18"/>
      <c r="H19" s="18"/>
      <c r="I19" s="18"/>
      <c r="J19" s="40"/>
      <c r="K19" s="18"/>
      <c r="L19" s="18"/>
      <c r="M19" s="20"/>
      <c r="N19" s="20"/>
      <c r="O19" s="20"/>
      <c r="Q19" s="3"/>
    </row>
    <row r="20" spans="1:17" s="2" customFormat="1" x14ac:dyDescent="0.3">
      <c r="A20" s="18"/>
      <c r="B20" s="18"/>
      <c r="C20" s="18"/>
      <c r="D20" s="18"/>
      <c r="E20" s="18"/>
      <c r="F20" s="18"/>
      <c r="G20" s="18"/>
      <c r="H20" s="18"/>
      <c r="I20" s="18"/>
      <c r="J20" s="40"/>
      <c r="K20" s="18"/>
      <c r="L20" s="18"/>
      <c r="M20" s="20"/>
      <c r="N20" s="20"/>
      <c r="O20" s="20"/>
      <c r="Q20" s="3"/>
    </row>
    <row r="21" spans="1:17" ht="15.6" x14ac:dyDescent="0.3">
      <c r="A21" s="117" t="s">
        <v>60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8"/>
      <c r="L21" s="18"/>
      <c r="M21" s="20"/>
      <c r="N21" s="20"/>
      <c r="O21" s="20"/>
    </row>
    <row r="22" spans="1:17" x14ac:dyDescent="0.3">
      <c r="A22" s="18"/>
      <c r="B22" s="108" t="s">
        <v>3</v>
      </c>
      <c r="C22" s="108" t="s">
        <v>4</v>
      </c>
      <c r="D22" s="18"/>
      <c r="E22" s="18"/>
      <c r="F22" s="18"/>
      <c r="G22" s="18"/>
      <c r="H22" s="18"/>
      <c r="I22" s="18"/>
      <c r="J22" s="42"/>
      <c r="K22" s="18"/>
      <c r="L22" s="18"/>
      <c r="M22" s="20"/>
      <c r="N22" s="20"/>
      <c r="O22" s="20"/>
    </row>
    <row r="23" spans="1:17" x14ac:dyDescent="0.3">
      <c r="A23" s="18" t="s">
        <v>51</v>
      </c>
      <c r="B23" s="26">
        <f>D4/D5*100</f>
        <v>104.69798657718121</v>
      </c>
      <c r="C23" s="26">
        <f>E4/E5*100</f>
        <v>100</v>
      </c>
      <c r="D23" s="18"/>
      <c r="E23" s="43"/>
      <c r="F23" s="18"/>
      <c r="G23" s="18"/>
      <c r="H23" s="18"/>
      <c r="I23" s="18"/>
      <c r="J23" s="18"/>
      <c r="K23" s="18"/>
      <c r="L23" s="18"/>
      <c r="M23" s="20"/>
      <c r="N23" s="20"/>
      <c r="O23" s="20"/>
    </row>
    <row r="24" spans="1:17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0"/>
      <c r="N24" s="20"/>
      <c r="O24" s="20"/>
    </row>
    <row r="25" spans="1:17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0"/>
      <c r="N25" s="20"/>
      <c r="O25" s="20"/>
    </row>
    <row r="26" spans="1:17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0"/>
      <c r="N26" s="20"/>
      <c r="O26" s="20"/>
    </row>
    <row r="27" spans="1:17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0"/>
      <c r="N27" s="20"/>
      <c r="O27" s="20"/>
    </row>
    <row r="28" spans="1:17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0"/>
      <c r="N28" s="20"/>
      <c r="O28" s="20"/>
    </row>
    <row r="29" spans="1:17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0"/>
      <c r="N29" s="20"/>
      <c r="O29" s="20"/>
    </row>
    <row r="30" spans="1:17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0"/>
      <c r="N30" s="20"/>
      <c r="O30" s="20"/>
    </row>
    <row r="31" spans="1:17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0"/>
      <c r="N31" s="20"/>
      <c r="O31" s="20"/>
    </row>
    <row r="32" spans="1:17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0"/>
      <c r="N32" s="20"/>
      <c r="O32" s="20"/>
    </row>
    <row r="33" spans="1:15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0"/>
      <c r="N33" s="20"/>
      <c r="O33" s="20"/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0"/>
      <c r="N34" s="20"/>
      <c r="O34" s="20"/>
    </row>
    <row r="35" spans="1:15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0"/>
      <c r="N35" s="20"/>
      <c r="O35" s="20"/>
    </row>
  </sheetData>
  <mergeCells count="8">
    <mergeCell ref="D2:F2"/>
    <mergeCell ref="I2:K2"/>
    <mergeCell ref="L2:Q2"/>
    <mergeCell ref="A21:J21"/>
    <mergeCell ref="H9:I9"/>
    <mergeCell ref="H10:I10"/>
    <mergeCell ref="H11:I11"/>
    <mergeCell ref="I8:P8"/>
  </mergeCells>
  <pageMargins left="0.7" right="0.7" top="0.75" bottom="0.75" header="0.3" footer="0.3"/>
  <pageSetup scale="52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39"/>
  <sheetViews>
    <sheetView topLeftCell="B9" zoomScaleNormal="100" workbookViewId="0">
      <selection activeCell="C15" sqref="C15"/>
    </sheetView>
  </sheetViews>
  <sheetFormatPr defaultColWidth="9.109375" defaultRowHeight="14.4" x14ac:dyDescent="0.3"/>
  <cols>
    <col min="1" max="1" width="23.44140625" style="1" customWidth="1"/>
    <col min="2" max="2" width="13.88671875" style="1" customWidth="1"/>
    <col min="3" max="3" width="12.44140625" style="1" customWidth="1"/>
    <col min="4" max="10" width="9.109375" style="1"/>
    <col min="11" max="11" width="7.33203125" style="1" customWidth="1"/>
    <col min="12" max="12" width="11.109375" style="1" customWidth="1"/>
    <col min="13" max="13" width="9.109375" style="2"/>
    <col min="14" max="14" width="11.44140625" style="2" bestFit="1" customWidth="1"/>
    <col min="15" max="15" width="5.88671875" style="2" customWidth="1"/>
    <col min="16" max="16" width="6" style="2" customWidth="1"/>
    <col min="17" max="17" width="6" style="3" customWidth="1"/>
    <col min="18" max="18" width="9.109375" style="2"/>
    <col min="19" max="16384" width="9.109375" style="1"/>
  </cols>
  <sheetData>
    <row r="1" spans="1:40" ht="18" x14ac:dyDescent="0.35">
      <c r="A1" s="19" t="s">
        <v>0</v>
      </c>
      <c r="B1" s="19"/>
      <c r="C1" s="19"/>
      <c r="D1" s="19"/>
      <c r="E1" s="18"/>
      <c r="F1" s="18"/>
      <c r="G1" s="18"/>
      <c r="H1" s="18"/>
      <c r="I1" s="18"/>
      <c r="J1" s="18"/>
      <c r="K1" s="18"/>
      <c r="L1" s="18"/>
      <c r="M1" s="20"/>
      <c r="N1" s="20"/>
      <c r="O1" s="20"/>
      <c r="P1" s="20"/>
      <c r="Q1" s="21"/>
    </row>
    <row r="2" spans="1:40" x14ac:dyDescent="0.3">
      <c r="A2" s="18"/>
      <c r="B2" s="18"/>
      <c r="C2" s="108" t="s">
        <v>63</v>
      </c>
      <c r="D2" s="118" t="s">
        <v>34</v>
      </c>
      <c r="E2" s="118"/>
      <c r="F2" s="118"/>
      <c r="G2" s="18"/>
      <c r="H2" s="18"/>
      <c r="I2" s="119" t="s">
        <v>2</v>
      </c>
      <c r="J2" s="119"/>
      <c r="K2" s="119"/>
      <c r="L2" s="119" t="s">
        <v>53</v>
      </c>
      <c r="M2" s="119"/>
      <c r="N2" s="119"/>
      <c r="O2" s="119"/>
      <c r="P2" s="119"/>
      <c r="Q2" s="119"/>
    </row>
    <row r="3" spans="1:40" x14ac:dyDescent="0.3">
      <c r="A3" s="18"/>
      <c r="B3" s="18"/>
      <c r="C3" s="108" t="s">
        <v>72</v>
      </c>
      <c r="D3" s="108" t="s">
        <v>3</v>
      </c>
      <c r="E3" s="108" t="s">
        <v>4</v>
      </c>
      <c r="F3" s="108"/>
      <c r="G3" s="18" t="s">
        <v>5</v>
      </c>
      <c r="H3" s="108" t="s">
        <v>6</v>
      </c>
      <c r="I3" s="108" t="s">
        <v>7</v>
      </c>
      <c r="J3" s="108" t="s">
        <v>4</v>
      </c>
      <c r="K3" s="108"/>
      <c r="L3" s="108" t="s">
        <v>7</v>
      </c>
      <c r="M3" s="22"/>
      <c r="N3" s="22" t="s">
        <v>4</v>
      </c>
      <c r="O3" s="22"/>
      <c r="P3" s="22"/>
      <c r="Q3" s="23"/>
    </row>
    <row r="4" spans="1:40" s="17" customFormat="1" x14ac:dyDescent="0.3">
      <c r="A4" s="20" t="s">
        <v>27</v>
      </c>
      <c r="B4" s="20" t="s">
        <v>8</v>
      </c>
      <c r="C4" s="45">
        <v>3044</v>
      </c>
      <c r="D4" s="45">
        <v>13</v>
      </c>
      <c r="E4" s="45">
        <v>0.4</v>
      </c>
      <c r="F4" s="5"/>
      <c r="G4" s="22">
        <v>185</v>
      </c>
      <c r="H4" s="22">
        <v>221</v>
      </c>
      <c r="I4" s="22">
        <v>26</v>
      </c>
      <c r="J4" s="22">
        <v>5</v>
      </c>
      <c r="K4" s="22"/>
      <c r="L4" s="48">
        <f>(C4*D4/6.25-(H4-G4)*I4)/1000</f>
        <v>5.3955200000000003</v>
      </c>
      <c r="M4" s="48"/>
      <c r="N4" s="48">
        <f>(C4*E4-(H4-G4)*J4)/1000</f>
        <v>1.0376000000000001</v>
      </c>
      <c r="O4" s="14"/>
      <c r="P4" s="14"/>
      <c r="Q4" s="1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3">
      <c r="A5" s="20"/>
      <c r="B5" s="20" t="s">
        <v>31</v>
      </c>
      <c r="C5" s="108">
        <v>3044</v>
      </c>
      <c r="D5" s="22">
        <v>12.4</v>
      </c>
      <c r="E5" s="22">
        <v>0.37</v>
      </c>
      <c r="F5" s="5"/>
      <c r="G5" s="22"/>
      <c r="H5" s="22"/>
      <c r="I5" s="22"/>
      <c r="J5" s="22"/>
      <c r="K5" s="22"/>
      <c r="L5" s="48"/>
      <c r="M5" s="48"/>
      <c r="N5" s="48"/>
      <c r="O5" s="14"/>
      <c r="P5" s="14"/>
      <c r="Q5" s="1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7" customFormat="1" x14ac:dyDescent="0.3">
      <c r="A6" s="20" t="s">
        <v>28</v>
      </c>
      <c r="B6" s="20" t="s">
        <v>8</v>
      </c>
      <c r="C6" s="45">
        <v>2970</v>
      </c>
      <c r="D6" s="45">
        <v>15</v>
      </c>
      <c r="E6" s="45">
        <v>0.5</v>
      </c>
      <c r="F6" s="5"/>
      <c r="G6" s="22">
        <v>200</v>
      </c>
      <c r="H6" s="22">
        <v>280</v>
      </c>
      <c r="I6" s="22">
        <v>25.7</v>
      </c>
      <c r="J6" s="22">
        <v>6</v>
      </c>
      <c r="K6" s="22"/>
      <c r="L6" s="48">
        <f>(C6*D6/6.25-(H6-G6)*I6)/1000</f>
        <v>5.0720000000000001</v>
      </c>
      <c r="M6" s="48"/>
      <c r="N6" s="48">
        <f>(C6*E6-(H6-G6)*J6)/1000</f>
        <v>1.0049999999999999</v>
      </c>
      <c r="O6" s="14"/>
      <c r="P6" s="14"/>
      <c r="Q6" s="1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3">
      <c r="A7" s="20"/>
      <c r="B7" s="20" t="s">
        <v>31</v>
      </c>
      <c r="C7" s="108">
        <v>2970</v>
      </c>
      <c r="D7" s="22">
        <v>14</v>
      </c>
      <c r="E7" s="22">
        <v>0.46</v>
      </c>
      <c r="F7" s="5"/>
      <c r="G7" s="5"/>
      <c r="H7" s="5"/>
      <c r="I7" s="5"/>
      <c r="J7" s="5"/>
      <c r="K7" s="5"/>
      <c r="L7" s="46"/>
      <c r="M7" s="46"/>
      <c r="N7" s="46"/>
      <c r="O7" s="14"/>
      <c r="P7" s="14"/>
      <c r="Q7" s="15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17" customFormat="1" x14ac:dyDescent="0.3">
      <c r="A8" s="20" t="s">
        <v>11</v>
      </c>
      <c r="B8" s="20" t="s">
        <v>8</v>
      </c>
      <c r="C8" s="45">
        <v>450</v>
      </c>
      <c r="D8" s="45">
        <v>19</v>
      </c>
      <c r="E8" s="45">
        <v>0.6</v>
      </c>
      <c r="F8" s="45"/>
      <c r="G8" s="86">
        <v>10</v>
      </c>
      <c r="H8" s="86">
        <v>35</v>
      </c>
      <c r="I8" s="22">
        <v>30.4</v>
      </c>
      <c r="J8" s="22">
        <v>5</v>
      </c>
      <c r="K8" s="22"/>
      <c r="L8" s="48">
        <f>(C8*D8/6.25-(H8-G8)*I8)/1000</f>
        <v>0.60799999999999998</v>
      </c>
      <c r="M8" s="48"/>
      <c r="N8" s="48">
        <f>(C8*E8-(H8-G8)*J8)/1000</f>
        <v>0.14499999999999999</v>
      </c>
      <c r="O8" s="14"/>
      <c r="P8" s="14"/>
      <c r="Q8" s="15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3">
      <c r="A9" s="20"/>
      <c r="B9" s="20" t="s">
        <v>31</v>
      </c>
      <c r="C9" s="108">
        <v>360</v>
      </c>
      <c r="D9" s="22">
        <v>18.100000000000001</v>
      </c>
      <c r="E9" s="22">
        <v>0.55000000000000004</v>
      </c>
      <c r="F9" s="4"/>
      <c r="G9" s="4"/>
      <c r="H9" s="4"/>
      <c r="I9" s="22"/>
      <c r="J9" s="22"/>
      <c r="K9" s="22"/>
      <c r="L9" s="48"/>
      <c r="M9" s="48"/>
      <c r="N9" s="48"/>
      <c r="O9" s="14"/>
      <c r="P9" s="14"/>
      <c r="Q9" s="15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3">
      <c r="A10" s="20"/>
      <c r="B10" s="20" t="s">
        <v>39</v>
      </c>
      <c r="C10" s="26">
        <f>K17*(H8-G8)</f>
        <v>441.375</v>
      </c>
      <c r="D10" s="22"/>
      <c r="E10" s="22"/>
      <c r="F10" s="4"/>
      <c r="G10" s="4"/>
      <c r="H10" s="4"/>
      <c r="I10" s="22"/>
      <c r="J10" s="22"/>
      <c r="K10" s="22"/>
      <c r="L10" s="48"/>
      <c r="M10" s="48"/>
      <c r="N10" s="48"/>
      <c r="O10" s="14"/>
      <c r="P10" s="14"/>
      <c r="Q10" s="15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s="11" customFormat="1" x14ac:dyDescent="0.3">
      <c r="A11" s="44" t="s">
        <v>12</v>
      </c>
      <c r="B11" s="44" t="s">
        <v>8</v>
      </c>
      <c r="C11" s="7">
        <v>3144</v>
      </c>
      <c r="D11" s="7">
        <v>15.5</v>
      </c>
      <c r="E11" s="7">
        <v>0.5</v>
      </c>
      <c r="F11" s="7"/>
      <c r="G11" s="8">
        <v>30</v>
      </c>
      <c r="H11" s="7">
        <v>140</v>
      </c>
      <c r="I11" s="24">
        <v>29.6</v>
      </c>
      <c r="J11" s="24">
        <v>5.5</v>
      </c>
      <c r="K11" s="24"/>
      <c r="L11" s="50">
        <f>(C11*D11/6.25-(H11-G11)*I11)/1000</f>
        <v>4.5411200000000003</v>
      </c>
      <c r="M11" s="50"/>
      <c r="N11" s="50">
        <f>(C11*E11-(H11-G11)*J11)/1000</f>
        <v>0.96699999999999997</v>
      </c>
      <c r="O11" s="10"/>
      <c r="P11" s="10"/>
      <c r="Q11" s="10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s="2" customFormat="1" x14ac:dyDescent="0.3">
      <c r="A12" s="20"/>
      <c r="B12" s="20" t="s">
        <v>31</v>
      </c>
      <c r="C12" s="108">
        <v>3144</v>
      </c>
      <c r="D12" s="22" t="s">
        <v>32</v>
      </c>
      <c r="E12" s="22" t="s">
        <v>33</v>
      </c>
      <c r="F12" s="5"/>
      <c r="G12" s="12"/>
      <c r="H12" s="4"/>
      <c r="I12" s="108"/>
      <c r="J12" s="108"/>
      <c r="K12" s="108"/>
      <c r="L12" s="50"/>
      <c r="M12" s="28"/>
      <c r="N12" s="28"/>
      <c r="O12" s="14"/>
      <c r="P12" s="14"/>
      <c r="Q12" s="15"/>
    </row>
    <row r="13" spans="1:40" s="2" customFormat="1" x14ac:dyDescent="0.3">
      <c r="A13" s="20" t="s">
        <v>51</v>
      </c>
      <c r="B13" s="20" t="s">
        <v>8</v>
      </c>
      <c r="C13" s="45">
        <v>2220</v>
      </c>
      <c r="D13" s="45">
        <v>15.6</v>
      </c>
      <c r="E13" s="45">
        <v>0.43</v>
      </c>
      <c r="F13" s="45"/>
      <c r="G13" s="74">
        <v>30</v>
      </c>
      <c r="H13" s="45">
        <v>120</v>
      </c>
      <c r="I13" s="108">
        <v>29.6</v>
      </c>
      <c r="J13" s="108">
        <v>5.5</v>
      </c>
      <c r="K13" s="108"/>
      <c r="L13" s="49">
        <f>(C13*D13/6.25-I13*(H13-G13))/1000</f>
        <v>2.8771199999999997</v>
      </c>
      <c r="M13" s="28"/>
      <c r="N13" s="48">
        <f>(C13*E13-J13*(H13-G13))/1000</f>
        <v>0.45960000000000001</v>
      </c>
      <c r="O13" s="14"/>
      <c r="P13" s="14"/>
      <c r="Q13" s="15"/>
    </row>
    <row r="14" spans="1:40" s="2" customFormat="1" x14ac:dyDescent="0.3">
      <c r="A14" s="20"/>
      <c r="B14" s="20" t="s">
        <v>31</v>
      </c>
      <c r="C14" s="108">
        <v>2220</v>
      </c>
      <c r="D14" s="22">
        <v>14.9</v>
      </c>
      <c r="E14" s="22">
        <v>0.43</v>
      </c>
      <c r="F14" s="5"/>
      <c r="G14" s="12"/>
      <c r="H14" s="108"/>
      <c r="I14" s="108"/>
      <c r="J14" s="108"/>
      <c r="K14" s="108"/>
      <c r="L14" s="27"/>
      <c r="M14" s="28"/>
      <c r="N14" s="28"/>
      <c r="O14" s="28"/>
      <c r="P14" s="28"/>
      <c r="Q14" s="103"/>
      <c r="R14" s="20"/>
    </row>
    <row r="15" spans="1:40" s="2" customFormat="1" ht="15.6" x14ac:dyDescent="0.3">
      <c r="A15" s="20"/>
      <c r="B15" s="20" t="s">
        <v>52</v>
      </c>
      <c r="C15" s="29">
        <f>K22*(H13-G13)</f>
        <v>2175.4499999999998</v>
      </c>
      <c r="D15" s="22"/>
      <c r="E15" s="22"/>
      <c r="F15" s="5"/>
      <c r="G15" s="16"/>
      <c r="H15" s="92"/>
      <c r="I15" s="115" t="s">
        <v>57</v>
      </c>
      <c r="J15" s="115"/>
      <c r="K15" s="129"/>
      <c r="L15" s="129"/>
      <c r="M15" s="129"/>
      <c r="N15" s="129"/>
      <c r="O15" s="93"/>
      <c r="P15" s="93"/>
      <c r="Q15" s="94"/>
      <c r="R15" s="20"/>
    </row>
    <row r="16" spans="1:40" s="2" customFormat="1" ht="15.6" x14ac:dyDescent="0.3">
      <c r="A16" s="1" t="s">
        <v>13</v>
      </c>
      <c r="B16" s="45">
        <v>130</v>
      </c>
      <c r="C16" s="1"/>
      <c r="D16" s="1"/>
      <c r="E16" s="1"/>
      <c r="F16" s="1"/>
      <c r="G16" s="12"/>
      <c r="H16" s="130" t="s">
        <v>42</v>
      </c>
      <c r="I16" s="131"/>
      <c r="J16" s="131"/>
      <c r="K16" s="95">
        <f>C8/(H8-G8)</f>
        <v>18</v>
      </c>
      <c r="L16" s="33" t="s">
        <v>41</v>
      </c>
      <c r="M16" s="34"/>
      <c r="N16" s="34"/>
      <c r="O16" s="34"/>
      <c r="P16" s="96">
        <f>G8</f>
        <v>10</v>
      </c>
      <c r="Q16" s="97">
        <f>H8</f>
        <v>35</v>
      </c>
      <c r="R16" s="20"/>
    </row>
    <row r="17" spans="1:18" s="2" customFormat="1" ht="15.6" x14ac:dyDescent="0.3">
      <c r="A17" s="1" t="s">
        <v>14</v>
      </c>
      <c r="B17" s="45">
        <v>262</v>
      </c>
      <c r="C17" s="1"/>
      <c r="D17" s="1"/>
      <c r="E17" s="1"/>
      <c r="F17" s="1"/>
      <c r="G17" s="12"/>
      <c r="H17" s="130" t="s">
        <v>43</v>
      </c>
      <c r="I17" s="131"/>
      <c r="J17" s="131"/>
      <c r="K17" s="95">
        <f>K16+0.069*(30-H8)</f>
        <v>17.655000000000001</v>
      </c>
      <c r="L17" s="33" t="s">
        <v>56</v>
      </c>
      <c r="M17" s="98"/>
      <c r="N17" s="98"/>
      <c r="O17" s="98"/>
      <c r="P17" s="98"/>
      <c r="Q17" s="99"/>
      <c r="R17" s="20"/>
    </row>
    <row r="18" spans="1:18" s="2" customFormat="1" ht="15.6" x14ac:dyDescent="0.3">
      <c r="A18" s="1" t="s">
        <v>15</v>
      </c>
      <c r="B18" s="45">
        <v>12085</v>
      </c>
      <c r="C18" s="1"/>
      <c r="D18" s="1"/>
      <c r="E18" s="1"/>
      <c r="F18" s="1"/>
      <c r="G18" s="12"/>
      <c r="H18" s="132" t="s">
        <v>31</v>
      </c>
      <c r="I18" s="133"/>
      <c r="J18" s="133"/>
      <c r="K18" s="100">
        <v>18</v>
      </c>
      <c r="L18" s="83" t="s">
        <v>44</v>
      </c>
      <c r="M18" s="84"/>
      <c r="N18" s="84"/>
      <c r="O18" s="84"/>
      <c r="P18" s="84"/>
      <c r="Q18" s="85"/>
      <c r="R18" s="20"/>
    </row>
    <row r="19" spans="1:18" s="2" customFormat="1" ht="15.6" x14ac:dyDescent="0.3">
      <c r="A19" s="1" t="s">
        <v>16</v>
      </c>
      <c r="B19" s="45">
        <v>2.2000000000000002</v>
      </c>
      <c r="C19" s="1"/>
      <c r="D19" s="1"/>
      <c r="E19" s="1"/>
      <c r="F19" s="1"/>
      <c r="G19" s="1"/>
      <c r="H19" s="18"/>
      <c r="I19" s="32"/>
      <c r="J19" s="39"/>
      <c r="K19" s="39"/>
      <c r="L19" s="53"/>
      <c r="M19" s="54"/>
      <c r="N19" s="54"/>
      <c r="O19" s="54"/>
      <c r="P19" s="54"/>
      <c r="Q19" s="54"/>
      <c r="R19" s="20"/>
    </row>
    <row r="20" spans="1:18" s="2" customFormat="1" ht="15.6" x14ac:dyDescent="0.3">
      <c r="A20" s="1" t="s">
        <v>54</v>
      </c>
      <c r="B20" s="45">
        <v>12085</v>
      </c>
      <c r="C20" s="1"/>
      <c r="D20" s="1"/>
      <c r="E20" s="1"/>
      <c r="F20" s="1"/>
      <c r="G20" s="1"/>
      <c r="H20" s="101"/>
      <c r="I20" s="115" t="s">
        <v>58</v>
      </c>
      <c r="J20" s="115"/>
      <c r="K20" s="129"/>
      <c r="L20" s="129"/>
      <c r="M20" s="129"/>
      <c r="N20" s="129"/>
      <c r="O20" s="30"/>
      <c r="P20" s="30"/>
      <c r="Q20" s="31"/>
      <c r="R20" s="20"/>
    </row>
    <row r="21" spans="1:18" s="2" customFormat="1" ht="15.6" x14ac:dyDescent="0.3">
      <c r="A21" s="1" t="s">
        <v>55</v>
      </c>
      <c r="B21" s="45">
        <v>12000</v>
      </c>
      <c r="C21" s="1"/>
      <c r="D21" s="1"/>
      <c r="E21" s="1"/>
      <c r="F21" s="1"/>
      <c r="G21" s="1"/>
      <c r="H21" s="130" t="s">
        <v>42</v>
      </c>
      <c r="I21" s="131"/>
      <c r="J21" s="131"/>
      <c r="K21" s="56">
        <f>C13/(H13-G13)</f>
        <v>24.666666666666668</v>
      </c>
      <c r="L21" s="33" t="s">
        <v>41</v>
      </c>
      <c r="M21" s="34"/>
      <c r="N21" s="34"/>
      <c r="O21" s="34"/>
      <c r="P21" s="57">
        <f>G13</f>
        <v>30</v>
      </c>
      <c r="Q21" s="58">
        <f>H13</f>
        <v>120</v>
      </c>
      <c r="R21" s="20"/>
    </row>
    <row r="22" spans="1:18" s="2" customFormat="1" ht="15.6" x14ac:dyDescent="0.3">
      <c r="A22" s="18"/>
      <c r="B22" s="108"/>
      <c r="C22" s="18"/>
      <c r="D22" s="18"/>
      <c r="E22" s="18"/>
      <c r="F22" s="18"/>
      <c r="G22" s="18"/>
      <c r="H22" s="130" t="s">
        <v>43</v>
      </c>
      <c r="I22" s="131"/>
      <c r="J22" s="131"/>
      <c r="K22" s="56">
        <f>K21+0.069*(30-G13)+0.099*(115-H13)</f>
        <v>24.171666666666667</v>
      </c>
      <c r="L22" s="33" t="s">
        <v>40</v>
      </c>
      <c r="M22" s="34"/>
      <c r="N22" s="34"/>
      <c r="O22" s="34"/>
      <c r="P22" s="57"/>
      <c r="Q22" s="58"/>
      <c r="R22" s="20"/>
    </row>
    <row r="23" spans="1:18" s="2" customFormat="1" ht="15.6" x14ac:dyDescent="0.3">
      <c r="A23" s="18" t="s">
        <v>17</v>
      </c>
      <c r="B23" s="26">
        <f>((B17*B19*C4*D4+B17*C6*B19*D6+C8*B18*D8+C11*D11*B16+B21*C13*D13)/6.25)/1000</f>
        <v>91797.412927999991</v>
      </c>
      <c r="C23" s="18"/>
      <c r="D23" s="18" t="s">
        <v>18</v>
      </c>
      <c r="E23" s="18"/>
      <c r="F23" s="26">
        <f>(B17*C4*B19*E4+B17*C6*B19*E6+B18*C8*E8+B16*C11*E11+B21*C13*E13)/1000</f>
        <v>16480.288639999999</v>
      </c>
      <c r="G23" s="18"/>
      <c r="H23" s="132" t="s">
        <v>31</v>
      </c>
      <c r="I23" s="134"/>
      <c r="J23" s="134"/>
      <c r="K23" s="87">
        <v>26.1</v>
      </c>
      <c r="L23" s="83" t="s">
        <v>44</v>
      </c>
      <c r="M23" s="84"/>
      <c r="N23" s="84"/>
      <c r="O23" s="84"/>
      <c r="P23" s="88"/>
      <c r="Q23" s="89"/>
      <c r="R23" s="20"/>
    </row>
    <row r="24" spans="1:18" s="2" customFormat="1" ht="15.6" x14ac:dyDescent="0.3">
      <c r="A24" s="18" t="s">
        <v>19</v>
      </c>
      <c r="B24" s="26">
        <f>B17*B19*L4+B17*B19*L6+B18*L8+B16*L11+((B20+B21)/2)*L13</f>
        <v>48619.221727999997</v>
      </c>
      <c r="C24" s="18"/>
      <c r="D24" s="18" t="s">
        <v>20</v>
      </c>
      <c r="E24" s="18"/>
      <c r="F24" s="26">
        <f>B17*B19*N4+B17*B19*N6+B18*N8+B16*N11+((B20+B21)/2)*N13</f>
        <v>8590.1226399999996</v>
      </c>
      <c r="G24" s="18"/>
      <c r="H24" s="18"/>
      <c r="I24" s="75"/>
      <c r="J24" s="75"/>
      <c r="K24" s="75"/>
      <c r="L24" s="75"/>
      <c r="M24" s="76"/>
      <c r="N24" s="77"/>
      <c r="O24" s="77"/>
      <c r="P24" s="77"/>
      <c r="Q24" s="77"/>
      <c r="R24" s="20"/>
    </row>
    <row r="25" spans="1:18" s="2" customFormat="1" x14ac:dyDescent="0.3">
      <c r="A25" s="18"/>
      <c r="B25" s="26"/>
      <c r="C25" s="18"/>
      <c r="D25" s="18"/>
      <c r="E25" s="18"/>
      <c r="F25" s="26"/>
      <c r="G25" s="18"/>
      <c r="H25" s="18"/>
      <c r="I25" s="18"/>
      <c r="J25" s="18"/>
      <c r="K25" s="18"/>
      <c r="L25" s="18"/>
      <c r="M25" s="20"/>
      <c r="N25" s="20"/>
      <c r="O25" s="20"/>
      <c r="P25" s="20"/>
      <c r="Q25" s="21"/>
      <c r="R25" s="20"/>
    </row>
    <row r="26" spans="1:18" s="2" customFormat="1" ht="18" x14ac:dyDescent="0.35">
      <c r="A26" s="19" t="s">
        <v>21</v>
      </c>
      <c r="B26" s="66">
        <f>((B23-B24)/B23)*100</f>
        <v>47.036392228031744</v>
      </c>
      <c r="C26" s="19"/>
      <c r="D26" s="19" t="s">
        <v>22</v>
      </c>
      <c r="E26" s="19"/>
      <c r="F26" s="66">
        <f>((F23-F24)/F23)*100</f>
        <v>47.876382339866588</v>
      </c>
      <c r="G26" s="18"/>
      <c r="H26" s="18"/>
      <c r="I26" s="18"/>
      <c r="J26" s="18"/>
      <c r="K26" s="18"/>
      <c r="L26" s="18"/>
      <c r="M26" s="20"/>
      <c r="N26" s="20"/>
      <c r="O26" s="20"/>
      <c r="P26" s="20"/>
      <c r="Q26" s="21"/>
      <c r="R26" s="20"/>
    </row>
    <row r="27" spans="1:18" s="2" customFormat="1" x14ac:dyDescent="0.3">
      <c r="A27" s="18"/>
      <c r="B27" s="18"/>
      <c r="C27" s="18"/>
      <c r="D27" s="18"/>
      <c r="E27" s="18"/>
      <c r="F27" s="18"/>
      <c r="G27" s="18"/>
      <c r="H27" s="18"/>
      <c r="I27" s="18"/>
      <c r="J27" s="40"/>
      <c r="K27" s="18"/>
      <c r="L27" s="18"/>
      <c r="M27" s="20"/>
      <c r="N27" s="20"/>
      <c r="O27" s="20"/>
      <c r="P27" s="20"/>
      <c r="Q27" s="21"/>
      <c r="R27" s="20"/>
    </row>
    <row r="28" spans="1:18" s="2" customFormat="1" ht="15.6" x14ac:dyDescent="0.3">
      <c r="A28" s="117" t="s">
        <v>60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8"/>
      <c r="L28" s="18"/>
      <c r="M28" s="20"/>
      <c r="N28" s="20"/>
      <c r="O28" s="20"/>
      <c r="P28" s="20"/>
      <c r="Q28" s="21"/>
      <c r="R28" s="20"/>
    </row>
    <row r="29" spans="1:18" s="2" customFormat="1" x14ac:dyDescent="0.3">
      <c r="A29" s="18"/>
      <c r="B29" s="108" t="s">
        <v>3</v>
      </c>
      <c r="C29" s="108" t="s">
        <v>4</v>
      </c>
      <c r="D29" s="18"/>
      <c r="E29" s="18"/>
      <c r="F29" s="18"/>
      <c r="G29" s="18"/>
      <c r="H29" s="18"/>
      <c r="I29" s="18"/>
      <c r="J29" s="40"/>
      <c r="K29" s="18"/>
      <c r="L29" s="18"/>
      <c r="M29" s="20"/>
      <c r="N29" s="20"/>
      <c r="O29" s="20"/>
      <c r="P29" s="20"/>
      <c r="Q29" s="21"/>
      <c r="R29" s="20"/>
    </row>
    <row r="30" spans="1:18" x14ac:dyDescent="0.3">
      <c r="A30" s="18" t="s">
        <v>45</v>
      </c>
      <c r="B30" s="26">
        <f>D4/D5*100</f>
        <v>104.83870967741935</v>
      </c>
      <c r="C30" s="26">
        <f>E4/E5*100</f>
        <v>108.10810810810811</v>
      </c>
      <c r="D30" s="18"/>
      <c r="E30" s="18"/>
      <c r="F30" s="18"/>
      <c r="G30" s="18"/>
      <c r="H30" s="18"/>
      <c r="I30" s="18"/>
      <c r="J30" s="40"/>
      <c r="K30" s="18"/>
      <c r="L30" s="18"/>
      <c r="M30" s="20"/>
      <c r="N30" s="20"/>
      <c r="O30" s="20"/>
      <c r="P30" s="20"/>
      <c r="Q30" s="21"/>
      <c r="R30" s="20"/>
    </row>
    <row r="31" spans="1:18" x14ac:dyDescent="0.3">
      <c r="A31" s="18" t="s">
        <v>46</v>
      </c>
      <c r="B31" s="26">
        <f>D6/D7*100</f>
        <v>107.14285714285714</v>
      </c>
      <c r="C31" s="26">
        <f>E6/E7*100</f>
        <v>108.69565217391303</v>
      </c>
      <c r="D31" s="18"/>
      <c r="E31" s="18"/>
      <c r="F31" s="18"/>
      <c r="G31" s="18"/>
      <c r="H31" s="18"/>
      <c r="I31" s="18"/>
      <c r="J31" s="42"/>
      <c r="K31" s="18"/>
      <c r="L31" s="18"/>
      <c r="M31" s="20"/>
      <c r="N31" s="20"/>
      <c r="O31" s="20"/>
      <c r="P31" s="20"/>
      <c r="Q31" s="21"/>
      <c r="R31" s="20"/>
    </row>
    <row r="32" spans="1:18" x14ac:dyDescent="0.3">
      <c r="A32" s="18" t="s">
        <v>47</v>
      </c>
      <c r="B32" s="26">
        <f>D8/D9*100</f>
        <v>104.97237569060773</v>
      </c>
      <c r="C32" s="26">
        <f>E8/E9*100</f>
        <v>109.09090909090908</v>
      </c>
      <c r="D32" s="18"/>
      <c r="E32" s="18"/>
      <c r="F32" s="18"/>
      <c r="G32" s="18"/>
      <c r="H32" s="18"/>
      <c r="I32" s="18"/>
      <c r="J32" s="18"/>
      <c r="K32" s="18"/>
      <c r="L32" s="18"/>
      <c r="M32" s="20"/>
      <c r="N32" s="20"/>
      <c r="O32" s="20"/>
      <c r="P32" s="20"/>
      <c r="Q32" s="21"/>
      <c r="R32" s="20"/>
    </row>
    <row r="33" spans="1:18" x14ac:dyDescent="0.3">
      <c r="A33" s="18" t="s">
        <v>12</v>
      </c>
      <c r="B33" s="26">
        <f>D11/14.9*100</f>
        <v>104.02684563758389</v>
      </c>
      <c r="C33" s="26">
        <f>E11/0.43*100</f>
        <v>116.27906976744187</v>
      </c>
      <c r="D33" s="18"/>
      <c r="E33" s="18"/>
      <c r="F33" s="18"/>
      <c r="G33" s="18"/>
      <c r="H33" s="18"/>
      <c r="I33" s="18"/>
      <c r="J33" s="18"/>
      <c r="K33" s="18"/>
      <c r="L33" s="18"/>
      <c r="M33" s="20"/>
      <c r="N33" s="20"/>
      <c r="O33" s="20"/>
      <c r="P33" s="20"/>
      <c r="Q33" s="21"/>
      <c r="R33" s="20"/>
    </row>
    <row r="34" spans="1:18" x14ac:dyDescent="0.3">
      <c r="A34" s="18" t="s">
        <v>51</v>
      </c>
      <c r="B34" s="26">
        <f>D13/D14*100</f>
        <v>104.69798657718121</v>
      </c>
      <c r="C34" s="26">
        <f>E13/E14*100</f>
        <v>100</v>
      </c>
      <c r="D34" s="18"/>
      <c r="E34" s="18"/>
      <c r="F34" s="18"/>
      <c r="G34" s="18"/>
      <c r="H34" s="18"/>
      <c r="I34" s="18"/>
      <c r="J34" s="18"/>
      <c r="K34" s="18"/>
      <c r="L34" s="18"/>
      <c r="M34" s="20"/>
      <c r="N34" s="20"/>
      <c r="O34" s="20"/>
      <c r="P34" s="20"/>
      <c r="Q34" s="21"/>
      <c r="R34" s="20"/>
    </row>
    <row r="35" spans="1:18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0"/>
      <c r="N35" s="20"/>
      <c r="O35" s="20"/>
      <c r="P35" s="20"/>
      <c r="Q35" s="21"/>
      <c r="R35" s="20"/>
    </row>
    <row r="36" spans="1:18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0"/>
      <c r="N36" s="20"/>
      <c r="O36" s="20"/>
      <c r="P36" s="20"/>
      <c r="Q36" s="21"/>
      <c r="R36" s="20"/>
    </row>
    <row r="37" spans="1:18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20"/>
      <c r="N37" s="20"/>
      <c r="O37" s="20"/>
      <c r="P37" s="20"/>
      <c r="Q37" s="21"/>
      <c r="R37" s="20"/>
    </row>
    <row r="38" spans="1:18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0"/>
      <c r="N38" s="20"/>
      <c r="O38" s="20"/>
      <c r="P38" s="20"/>
      <c r="Q38" s="21"/>
      <c r="R38" s="20"/>
    </row>
    <row r="39" spans="1:18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20"/>
      <c r="N39" s="20"/>
      <c r="O39" s="20"/>
      <c r="P39" s="20"/>
      <c r="Q39" s="21"/>
      <c r="R39" s="20"/>
    </row>
  </sheetData>
  <mergeCells count="12">
    <mergeCell ref="A28:J28"/>
    <mergeCell ref="D2:F2"/>
    <mergeCell ref="I2:K2"/>
    <mergeCell ref="L2:Q2"/>
    <mergeCell ref="I15:N15"/>
    <mergeCell ref="H16:J16"/>
    <mergeCell ref="H17:J17"/>
    <mergeCell ref="H18:J18"/>
    <mergeCell ref="I20:N20"/>
    <mergeCell ref="H21:J21"/>
    <mergeCell ref="H22:J22"/>
    <mergeCell ref="H23:J23"/>
  </mergeCells>
  <pageMargins left="0.7" right="0.7" top="0.75" bottom="0.75" header="0.3" footer="0.3"/>
  <pageSetup scale="7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Smågrisprod</vt:lpstr>
      <vt:lpstr>Poolsugga di 3v</vt:lpstr>
      <vt:lpstr>Poolsugga di 7v</vt:lpstr>
      <vt:lpstr>Poolsugga sin3v</vt:lpstr>
      <vt:lpstr>Poolsugga sin7v</vt:lpstr>
      <vt:lpstr>Slaktgrisar</vt:lpstr>
      <vt:lpstr>Integrerad produktion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</dc:creator>
  <cp:lastModifiedBy>Dan-Axel Danielsson</cp:lastModifiedBy>
  <cp:lastPrinted>2012-10-06T11:09:10Z</cp:lastPrinted>
  <dcterms:created xsi:type="dcterms:W3CDTF">2012-09-19T06:54:48Z</dcterms:created>
  <dcterms:modified xsi:type="dcterms:W3CDTF">2022-08-15T10:59:59Z</dcterms:modified>
</cp:coreProperties>
</file>