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nafs01\anvandare\ddan\Documents\"/>
    </mc:Choice>
  </mc:AlternateContent>
  <xr:revisionPtr revIDLastSave="0" documentId="13_ncr:1_{8B8CB7D0-E82B-470D-95D8-B9D410FE47A6}" xr6:coauthVersionLast="36" xr6:coauthVersionMax="36" xr10:uidLastSave="{00000000-0000-0000-0000-000000000000}"/>
  <bookViews>
    <workbookView xWindow="0" yWindow="0" windowWidth="23040" windowHeight="9060" xr2:uid="{3521078D-AA46-44AD-9B63-2259BF654BB4}"/>
  </bookViews>
  <sheets>
    <sheet name="Sammanställning" sheetId="1" r:id="rId1"/>
    <sheet name="Mjölkko" sheetId="2" state="hidden" r:id="rId2"/>
    <sheet name="Ungtjur" sheetId="3" state="hidden" r:id="rId3"/>
    <sheet name="Tacka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2" i="4"/>
  <c r="G3" i="4" s="1"/>
  <c r="B3" i="3"/>
  <c r="B2" i="3"/>
  <c r="G3" i="3" s="1"/>
  <c r="B3" i="2"/>
  <c r="B2" i="2"/>
  <c r="G3" i="2" s="1"/>
  <c r="B30" i="1"/>
  <c r="B20" i="1"/>
  <c r="B10" i="1"/>
  <c r="G10" i="4"/>
  <c r="J10" i="4" s="1"/>
  <c r="G5" i="4"/>
  <c r="J4" i="4"/>
  <c r="J5" i="4" s="1"/>
  <c r="G4" i="4"/>
  <c r="G7" i="4" s="1"/>
  <c r="G8" i="4" s="1"/>
  <c r="M2" i="4"/>
  <c r="G10" i="3"/>
  <c r="J10" i="3" s="1"/>
  <c r="G5" i="3"/>
  <c r="J4" i="3"/>
  <c r="J7" i="3" s="1"/>
  <c r="J8" i="3" s="1"/>
  <c r="G4" i="3"/>
  <c r="G7" i="3" s="1"/>
  <c r="G8" i="3" s="1"/>
  <c r="M2" i="3"/>
  <c r="G10" i="2"/>
  <c r="J10" i="2" s="1"/>
  <c r="G5" i="2"/>
  <c r="J4" i="2"/>
  <c r="J7" i="2" s="1"/>
  <c r="J8" i="2" s="1"/>
  <c r="G4" i="2"/>
  <c r="G7" i="2" s="1"/>
  <c r="G8" i="2" s="1"/>
  <c r="M2" i="2"/>
  <c r="G6" i="2" l="1"/>
  <c r="G6" i="4"/>
  <c r="G6" i="3"/>
  <c r="G2" i="2"/>
  <c r="G9" i="2" s="1"/>
  <c r="G2" i="3"/>
  <c r="G2" i="4"/>
  <c r="J7" i="4"/>
  <c r="J8" i="4" s="1"/>
  <c r="J2" i="3"/>
  <c r="J3" i="3" s="1"/>
  <c r="J5" i="3"/>
  <c r="J2" i="4"/>
  <c r="J3" i="4" s="1"/>
  <c r="J6" i="4" s="1"/>
  <c r="J2" i="2"/>
  <c r="J3" i="2" s="1"/>
  <c r="J5" i="2"/>
  <c r="J6" i="3" l="1"/>
  <c r="J9" i="3" s="1"/>
  <c r="J11" i="3" s="1"/>
  <c r="J12" i="3" s="1"/>
  <c r="B22" i="1" s="1"/>
  <c r="J6" i="2"/>
  <c r="G11" i="2"/>
  <c r="G12" i="2" s="1"/>
  <c r="B9" i="1" s="1"/>
  <c r="J15" i="4"/>
  <c r="J9" i="4"/>
  <c r="J11" i="4" s="1"/>
  <c r="J12" i="4" s="1"/>
  <c r="B32" i="1" s="1"/>
  <c r="G9" i="4"/>
  <c r="J15" i="2"/>
  <c r="J16" i="2" s="1"/>
  <c r="J17" i="2" s="1"/>
  <c r="J9" i="2"/>
  <c r="J11" i="2" s="1"/>
  <c r="J12" i="2" s="1"/>
  <c r="G9" i="3"/>
  <c r="J15" i="3"/>
  <c r="B33" i="1" l="1"/>
  <c r="J13" i="2"/>
  <c r="B6" i="2" s="1"/>
  <c r="B12" i="1"/>
  <c r="B13" i="1" s="1"/>
  <c r="J18" i="2"/>
  <c r="B7" i="2" s="1"/>
  <c r="B15" i="1"/>
  <c r="B16" i="1" s="1"/>
  <c r="G11" i="4"/>
  <c r="G12" i="4" s="1"/>
  <c r="B29" i="1" s="1"/>
  <c r="J16" i="4"/>
  <c r="J17" i="4" s="1"/>
  <c r="G11" i="3"/>
  <c r="G12" i="3" s="1"/>
  <c r="B19" i="1" s="1"/>
  <c r="B23" i="1" s="1"/>
  <c r="J16" i="3"/>
  <c r="J17" i="3" s="1"/>
  <c r="J13" i="4"/>
  <c r="B6" i="4" s="1"/>
  <c r="J18" i="4" l="1"/>
  <c r="B7" i="4" s="1"/>
  <c r="B35" i="1"/>
  <c r="B36" i="1" s="1"/>
  <c r="J18" i="3"/>
  <c r="B7" i="3" s="1"/>
  <c r="B25" i="1"/>
  <c r="B26" i="1" s="1"/>
  <c r="J13" i="3"/>
  <c r="B6" i="3" s="1"/>
</calcChain>
</file>

<file path=xl/sharedStrings.xml><?xml version="1.0" encoding="utf-8"?>
<sst xmlns="http://schemas.openxmlformats.org/spreadsheetml/2006/main" count="148" uniqueCount="58">
  <si>
    <t>Vad betyder grovfoderkvaliteten för olika djurslag?</t>
  </si>
  <si>
    <t>Grovfoder</t>
  </si>
  <si>
    <t>Energiinnehåll Grovfoder 1 (MJ/kg ts)</t>
  </si>
  <si>
    <t>Energiinnehåll Grovfoder 2 (MJ/kg ts)</t>
  </si>
  <si>
    <t>Mjölkko 600 kg</t>
  </si>
  <si>
    <t>Mjölkavkastning med grovfoder 1 (kg/dag)</t>
  </si>
  <si>
    <t>Mjölkavkastning med grovfoder 2 vid samma kraftfodergiva (kg/dag)</t>
  </si>
  <si>
    <t>Skillnad i mjölkavkastning vid samma kraftfodergiva (kg/dag)</t>
  </si>
  <si>
    <t>Kraftfodergiva med grovfoder 2 vid samma mjölkavkastning</t>
  </si>
  <si>
    <t>Skillnad i kraftfodergiva med grovfoder 2 vid samma mjölkavkastning</t>
  </si>
  <si>
    <t>Ungtjur 300 kg</t>
  </si>
  <si>
    <t>Tillväxt med grovfoder 1 (kg/dag)</t>
  </si>
  <si>
    <t>Tillväxt med grovfoder 2 vid samma kraftfodergiva (kg/dag))</t>
  </si>
  <si>
    <t>Skillnad i tillväxt med grovfoder 2 vid samma kraftfodergiva (kg/dag)</t>
  </si>
  <si>
    <t>Kraftfodergiva med grovfoder 2 vid samma tillväxt (kg/dag)</t>
  </si>
  <si>
    <t>Skillnad i kraftfodergiva vid samma tillväxt (kg/dag)</t>
  </si>
  <si>
    <t>Tacka 70 kg med 2 lamm</t>
  </si>
  <si>
    <t>Lammtillväxt med grovfoder 1 (kg/dag)</t>
  </si>
  <si>
    <t>Lammtillväxt med grovfoder 2 vid samma kraftfodergiva (kg/dag))</t>
  </si>
  <si>
    <t>Kraftfodergiva med grovfoder 2 vid samma lammtillväxt (kg/dag)</t>
  </si>
  <si>
    <t>Skillnad i kraftfodergiva vid samma lammtillväxt (kg/dag)</t>
  </si>
  <si>
    <t>Original</t>
  </si>
  <si>
    <t>Alternativ</t>
  </si>
  <si>
    <t>Förutsättningar</t>
  </si>
  <si>
    <t>MJ</t>
  </si>
  <si>
    <t>Krf MJ/kg</t>
  </si>
  <si>
    <t>Ny MJ</t>
  </si>
  <si>
    <t>NDF</t>
  </si>
  <si>
    <t>Krf NDF/kg</t>
  </si>
  <si>
    <t>NDFMax</t>
  </si>
  <si>
    <t>Vikt</t>
  </si>
  <si>
    <t>Innebär</t>
  </si>
  <si>
    <t>Grovfoder kg NDF</t>
  </si>
  <si>
    <t>Skillnad i mjölkavkastning vid samma kraftfodergiva</t>
  </si>
  <si>
    <t>Grovfoder kg</t>
  </si>
  <si>
    <t>75 % av NDF ska komma från Grovfoder</t>
  </si>
  <si>
    <t>Skillnad i kraftfodergiva vid samma mjölkavkastning</t>
  </si>
  <si>
    <t>Krf kg NDF</t>
  </si>
  <si>
    <t>Kraftfoder kg</t>
  </si>
  <si>
    <t>Underhåll</t>
  </si>
  <si>
    <t>MJ till mjölk</t>
  </si>
  <si>
    <t>Kg Mjölk</t>
  </si>
  <si>
    <t>Skillnad</t>
  </si>
  <si>
    <t>eller</t>
  </si>
  <si>
    <t>MJ från Grovf</t>
  </si>
  <si>
    <t>Behov från Krf</t>
  </si>
  <si>
    <t>Kg krf</t>
  </si>
  <si>
    <t>Skillnad i tillväxt vid samma kraftfodergiva</t>
  </si>
  <si>
    <t>Skillnad i kraftfodergiva vid samma tillväxt</t>
  </si>
  <si>
    <t>MJ till tiilväxt</t>
  </si>
  <si>
    <t>Kg  tillväxt</t>
  </si>
  <si>
    <t>Antal lamm</t>
  </si>
  <si>
    <t>Skillnad i lammtillväxt vid samma kraftfodergiva</t>
  </si>
  <si>
    <t>Skillnad i kraftfodergiva vid samma lammtillväxt</t>
  </si>
  <si>
    <t>Lammtillväxt</t>
  </si>
  <si>
    <t>Kraftfodergiva med grovfoder 1 (kg/dag)*</t>
  </si>
  <si>
    <t>* I grundalternativen är kraftfodergivan satt till 75% av NDF-intaget ska komma från grovfoder</t>
  </si>
  <si>
    <t>Testa själv genom att ändra i de gula rutorna!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</si>
</sst>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0" xfId="1" applyBorder="1"/>
    <xf numFmtId="0" fontId="5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164" fontId="1" fillId="0" borderId="10" xfId="0" applyNumberFormat="1" applyFont="1" applyBorder="1"/>
    <xf numFmtId="0" fontId="1" fillId="0" borderId="10" xfId="0" applyFont="1" applyBorder="1"/>
    <xf numFmtId="164" fontId="1" fillId="0" borderId="11" xfId="0" applyNumberFormat="1" applyFont="1" applyBorder="1"/>
    <xf numFmtId="165" fontId="1" fillId="0" borderId="10" xfId="0" applyNumberFormat="1" applyFont="1" applyBorder="1"/>
    <xf numFmtId="0" fontId="6" fillId="0" borderId="0" xfId="0" applyFont="1"/>
    <xf numFmtId="0" fontId="6" fillId="0" borderId="0" xfId="0" quotePrefix="1" applyFont="1"/>
    <xf numFmtId="164" fontId="1" fillId="0" borderId="0" xfId="0" applyNumberFormat="1" applyFont="1"/>
    <xf numFmtId="1" fontId="1" fillId="0" borderId="0" xfId="0" applyNumberFormat="1" applyFont="1"/>
    <xf numFmtId="9" fontId="1" fillId="0" borderId="0" xfId="0" applyNumberFormat="1" applyFon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quotePrefix="1" applyFont="1"/>
    <xf numFmtId="165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8" fillId="0" borderId="0" xfId="0" applyFont="1"/>
  </cellXfs>
  <cellStyles count="4"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Jordbruksverket">
  <a:themeElements>
    <a:clrScheme name="Greppa näring, 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4165"/>
      </a:accent1>
      <a:accent2>
        <a:srgbClr val="0083BE"/>
      </a:accent2>
      <a:accent3>
        <a:srgbClr val="DC5034"/>
      </a:accent3>
      <a:accent4>
        <a:srgbClr val="00B299"/>
      </a:accent4>
      <a:accent5>
        <a:srgbClr val="668013"/>
      </a:accent5>
      <a:accent6>
        <a:srgbClr val="BCA600"/>
      </a:accent6>
      <a:hlink>
        <a:srgbClr val="0563C1"/>
      </a:hlink>
      <a:folHlink>
        <a:srgbClr val="954F72"/>
      </a:folHlink>
    </a:clrScheme>
    <a:fontScheme name="Greppa näring, Jordbruks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B38"/>
  <sheetViews>
    <sheetView tabSelected="1" view="pageLayout" zoomScaleNormal="100" workbookViewId="0">
      <selection activeCell="A2" sqref="A2"/>
    </sheetView>
  </sheetViews>
  <sheetFormatPr defaultColWidth="8.69921875" defaultRowHeight="13.2" x14ac:dyDescent="0.25"/>
  <cols>
    <col min="1" max="1" width="57.5" style="1" customWidth="1"/>
    <col min="2" max="16384" width="8.69921875" style="1"/>
  </cols>
  <sheetData>
    <row r="1" spans="1:2" ht="17.399999999999999" x14ac:dyDescent="0.3">
      <c r="A1" s="2" t="s">
        <v>0</v>
      </c>
    </row>
    <row r="2" spans="1:2" x14ac:dyDescent="0.25">
      <c r="A2" s="1" t="s">
        <v>57</v>
      </c>
    </row>
    <row r="3" spans="1:2" ht="13.8" thickBot="1" x14ac:dyDescent="0.3"/>
    <row r="4" spans="1:2" ht="13.8" x14ac:dyDescent="0.25">
      <c r="A4" s="3" t="s">
        <v>1</v>
      </c>
      <c r="B4" s="4"/>
    </row>
    <row r="5" spans="1:2" x14ac:dyDescent="0.25">
      <c r="A5" s="5" t="s">
        <v>2</v>
      </c>
      <c r="B5" s="6">
        <v>8</v>
      </c>
    </row>
    <row r="6" spans="1:2" ht="13.8" thickBot="1" x14ac:dyDescent="0.3">
      <c r="A6" s="7" t="s">
        <v>3</v>
      </c>
      <c r="B6" s="8">
        <v>10</v>
      </c>
    </row>
    <row r="7" spans="1:2" ht="13.8" thickBot="1" x14ac:dyDescent="0.3"/>
    <row r="8" spans="1:2" ht="13.8" x14ac:dyDescent="0.25">
      <c r="A8" s="3" t="s">
        <v>4</v>
      </c>
      <c r="B8" s="4"/>
    </row>
    <row r="9" spans="1:2" x14ac:dyDescent="0.25">
      <c r="A9" s="5" t="s">
        <v>5</v>
      </c>
      <c r="B9" s="9">
        <f>Mjölkko!G12</f>
        <v>27.303324184228096</v>
      </c>
    </row>
    <row r="10" spans="1:2" x14ac:dyDescent="0.25">
      <c r="A10" s="5" t="s">
        <v>55</v>
      </c>
      <c r="B10" s="9">
        <f>Mjölkko!G8</f>
        <v>9.825327510917031</v>
      </c>
    </row>
    <row r="11" spans="1:2" x14ac:dyDescent="0.25">
      <c r="A11" s="5"/>
      <c r="B11" s="10"/>
    </row>
    <row r="12" spans="1:2" x14ac:dyDescent="0.25">
      <c r="A12" s="5" t="s">
        <v>6</v>
      </c>
      <c r="B12" s="9">
        <f>Mjölkko!J12</f>
        <v>34.252681509410294</v>
      </c>
    </row>
    <row r="13" spans="1:2" x14ac:dyDescent="0.25">
      <c r="A13" s="5" t="s">
        <v>7</v>
      </c>
      <c r="B13" s="9">
        <f>B12-B9</f>
        <v>6.9493573251821985</v>
      </c>
    </row>
    <row r="14" spans="1:2" x14ac:dyDescent="0.25">
      <c r="A14" s="5"/>
      <c r="B14" s="10"/>
    </row>
    <row r="15" spans="1:2" x14ac:dyDescent="0.25">
      <c r="A15" s="5" t="s">
        <v>8</v>
      </c>
      <c r="B15" s="9">
        <f>Mjölkko!J17</f>
        <v>6.7996581774172915</v>
      </c>
    </row>
    <row r="16" spans="1:2" ht="13.8" thickBot="1" x14ac:dyDescent="0.3">
      <c r="A16" s="7" t="s">
        <v>9</v>
      </c>
      <c r="B16" s="11">
        <f>B15-B10</f>
        <v>-3.0256693334997395</v>
      </c>
    </row>
    <row r="17" spans="1:2" ht="13.8" thickBot="1" x14ac:dyDescent="0.3"/>
    <row r="18" spans="1:2" ht="13.8" x14ac:dyDescent="0.25">
      <c r="A18" s="3" t="s">
        <v>10</v>
      </c>
      <c r="B18" s="4"/>
    </row>
    <row r="19" spans="1:2" x14ac:dyDescent="0.25">
      <c r="A19" s="5" t="s">
        <v>11</v>
      </c>
      <c r="B19" s="12">
        <f>Ungtjur!G12</f>
        <v>0.82831659258790324</v>
      </c>
    </row>
    <row r="20" spans="1:2" x14ac:dyDescent="0.25">
      <c r="A20" s="5" t="s">
        <v>55</v>
      </c>
      <c r="B20" s="9">
        <f>Ungtjur!G8</f>
        <v>3.2751091703056767</v>
      </c>
    </row>
    <row r="21" spans="1:2" x14ac:dyDescent="0.25">
      <c r="A21" s="5"/>
      <c r="B21" s="10"/>
    </row>
    <row r="22" spans="1:2" x14ac:dyDescent="0.25">
      <c r="A22" s="5" t="s">
        <v>12</v>
      </c>
      <c r="B22" s="12">
        <f>Ungtjur!J12</f>
        <v>1.0483795745520061</v>
      </c>
    </row>
    <row r="23" spans="1:2" x14ac:dyDescent="0.25">
      <c r="A23" s="5" t="s">
        <v>13</v>
      </c>
      <c r="B23" s="12">
        <f>B22-B19</f>
        <v>0.2200629819641029</v>
      </c>
    </row>
    <row r="24" spans="1:2" x14ac:dyDescent="0.25">
      <c r="A24" s="5"/>
      <c r="B24" s="10"/>
    </row>
    <row r="25" spans="1:2" x14ac:dyDescent="0.25">
      <c r="A25" s="5" t="s">
        <v>14</v>
      </c>
      <c r="B25" s="9">
        <f>Ungtjur!J17</f>
        <v>2.2665527258057643</v>
      </c>
    </row>
    <row r="26" spans="1:2" ht="13.8" thickBot="1" x14ac:dyDescent="0.3">
      <c r="A26" s="7" t="s">
        <v>15</v>
      </c>
      <c r="B26" s="11">
        <f>B25-B20</f>
        <v>-1.0085564444999124</v>
      </c>
    </row>
    <row r="27" spans="1:2" ht="13.8" thickBot="1" x14ac:dyDescent="0.3"/>
    <row r="28" spans="1:2" ht="13.8" x14ac:dyDescent="0.25">
      <c r="A28" s="3" t="s">
        <v>16</v>
      </c>
      <c r="B28" s="4"/>
    </row>
    <row r="29" spans="1:2" x14ac:dyDescent="0.25">
      <c r="A29" s="5" t="s">
        <v>17</v>
      </c>
      <c r="B29" s="12">
        <f>Tacka!G12</f>
        <v>0.12635997675666447</v>
      </c>
    </row>
    <row r="30" spans="1:2" x14ac:dyDescent="0.25">
      <c r="A30" s="5" t="s">
        <v>55</v>
      </c>
      <c r="B30" s="9">
        <f>Tacka!G8</f>
        <v>1.1462882096069869</v>
      </c>
    </row>
    <row r="31" spans="1:2" x14ac:dyDescent="0.25">
      <c r="A31" s="5"/>
      <c r="B31" s="10"/>
    </row>
    <row r="32" spans="1:2" x14ac:dyDescent="0.25">
      <c r="A32" s="5" t="s">
        <v>18</v>
      </c>
      <c r="B32" s="12">
        <f>Tacka!J12</f>
        <v>0.16419536663821202</v>
      </c>
    </row>
    <row r="33" spans="1:2" x14ac:dyDescent="0.25">
      <c r="A33" s="5" t="s">
        <v>13</v>
      </c>
      <c r="B33" s="12">
        <f>B32-B29</f>
        <v>3.7835389881547554E-2</v>
      </c>
    </row>
    <row r="34" spans="1:2" x14ac:dyDescent="0.25">
      <c r="A34" s="5"/>
      <c r="B34" s="10"/>
    </row>
    <row r="35" spans="1:2" x14ac:dyDescent="0.25">
      <c r="A35" s="5" t="s">
        <v>19</v>
      </c>
      <c r="B35" s="9">
        <f>Tacka!J17</f>
        <v>0.79329345403201756</v>
      </c>
    </row>
    <row r="36" spans="1:2" ht="13.8" thickBot="1" x14ac:dyDescent="0.3">
      <c r="A36" s="7" t="s">
        <v>20</v>
      </c>
      <c r="B36" s="11">
        <f>B35-B30</f>
        <v>-0.35299475557496929</v>
      </c>
    </row>
    <row r="38" spans="1:2" x14ac:dyDescent="0.25">
      <c r="A38" s="24" t="s">
        <v>56</v>
      </c>
    </row>
  </sheetData>
  <pageMargins left="0.7" right="0.7" top="1.3571428571428572" bottom="0.75" header="0.3" footer="0.3"/>
  <pageSetup paperSize="9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8007-F382-4125-AD6B-E48AA38F3DD3}">
  <dimension ref="A1:M22"/>
  <sheetViews>
    <sheetView zoomScaleNormal="100" workbookViewId="0">
      <selection activeCell="J2" sqref="J2"/>
    </sheetView>
  </sheetViews>
  <sheetFormatPr defaultColWidth="8.59765625" defaultRowHeight="13.2" x14ac:dyDescent="0.25"/>
  <cols>
    <col min="1" max="1" width="38.09765625" style="1" bestFit="1" customWidth="1"/>
    <col min="2" max="5" width="8.59765625" style="1"/>
    <col min="6" max="6" width="16.19921875" style="1" customWidth="1"/>
    <col min="7" max="8" width="8.59765625" style="1"/>
    <col min="9" max="9" width="15.59765625" style="1" bestFit="1" customWidth="1"/>
    <col min="10" max="10" width="10.8984375" style="1" bestFit="1" customWidth="1"/>
    <col min="11" max="16384" width="8.59765625" style="1"/>
  </cols>
  <sheetData>
    <row r="1" spans="1:13" x14ac:dyDescent="0.25">
      <c r="F1" s="13" t="s">
        <v>21</v>
      </c>
      <c r="I1" s="14" t="s">
        <v>22</v>
      </c>
      <c r="L1" s="13" t="s">
        <v>23</v>
      </c>
    </row>
    <row r="2" spans="1:13" x14ac:dyDescent="0.25">
      <c r="A2" s="1" t="s">
        <v>24</v>
      </c>
      <c r="B2" s="1">
        <f>Sammanställning!B5</f>
        <v>8</v>
      </c>
      <c r="F2" s="1" t="s">
        <v>24</v>
      </c>
      <c r="G2" s="1">
        <f>B2</f>
        <v>8</v>
      </c>
      <c r="I2" s="1" t="s">
        <v>24</v>
      </c>
      <c r="J2" s="1">
        <f>B2+(B3-B2)</f>
        <v>10</v>
      </c>
      <c r="L2" s="1" t="s">
        <v>25</v>
      </c>
      <c r="M2" s="15">
        <f>0.87*13.2</f>
        <v>11.484</v>
      </c>
    </row>
    <row r="3" spans="1:13" x14ac:dyDescent="0.25">
      <c r="A3" s="1" t="s">
        <v>26</v>
      </c>
      <c r="B3" s="1">
        <f>Sammanställning!B6</f>
        <v>10</v>
      </c>
      <c r="F3" s="1" t="s">
        <v>27</v>
      </c>
      <c r="G3" s="16">
        <f>919-B2*35.6</f>
        <v>634.20000000000005</v>
      </c>
      <c r="I3" s="1" t="s">
        <v>27</v>
      </c>
      <c r="J3" s="16">
        <f>919-J2*35.6</f>
        <v>563</v>
      </c>
      <c r="L3" s="1" t="s">
        <v>28</v>
      </c>
      <c r="M3" s="1">
        <v>229</v>
      </c>
    </row>
    <row r="4" spans="1:13" ht="13.8" x14ac:dyDescent="0.25">
      <c r="B4" s="17"/>
      <c r="F4" s="1" t="s">
        <v>29</v>
      </c>
      <c r="G4" s="1">
        <f>0.015*M4</f>
        <v>9</v>
      </c>
      <c r="I4" s="1" t="s">
        <v>29</v>
      </c>
      <c r="J4" s="1">
        <f>G4</f>
        <v>9</v>
      </c>
      <c r="L4" t="s">
        <v>30</v>
      </c>
      <c r="M4" s="1">
        <v>600</v>
      </c>
    </row>
    <row r="5" spans="1:13" x14ac:dyDescent="0.25">
      <c r="A5" s="1" t="s">
        <v>31</v>
      </c>
      <c r="F5" s="1" t="s">
        <v>32</v>
      </c>
      <c r="G5" s="1">
        <f>0.75*G4</f>
        <v>6.75</v>
      </c>
      <c r="I5" s="1" t="s">
        <v>32</v>
      </c>
      <c r="J5" s="1">
        <f>0.75*J4</f>
        <v>6.75</v>
      </c>
    </row>
    <row r="6" spans="1:13" x14ac:dyDescent="0.25">
      <c r="A6" s="1" t="s">
        <v>33</v>
      </c>
      <c r="B6" s="16">
        <f>J13</f>
        <v>6.9493573251821985</v>
      </c>
      <c r="F6" s="1" t="s">
        <v>34</v>
      </c>
      <c r="G6" s="15">
        <f>G5/(G3*0.001)</f>
        <v>10.643330179754019</v>
      </c>
      <c r="I6" s="1" t="s">
        <v>34</v>
      </c>
      <c r="J6" s="15">
        <f>J5/(J3*0.001)</f>
        <v>11.989342806394315</v>
      </c>
      <c r="L6" s="1" t="s">
        <v>35</v>
      </c>
    </row>
    <row r="7" spans="1:13" x14ac:dyDescent="0.25">
      <c r="A7" s="1" t="s">
        <v>36</v>
      </c>
      <c r="B7" s="15">
        <f>J18</f>
        <v>-3.0256693334997395</v>
      </c>
      <c r="F7" s="1" t="s">
        <v>37</v>
      </c>
      <c r="G7" s="1">
        <f>0.25*G4</f>
        <v>2.25</v>
      </c>
      <c r="I7" s="1" t="s">
        <v>37</v>
      </c>
      <c r="J7" s="1">
        <f>0.25*J4</f>
        <v>2.25</v>
      </c>
    </row>
    <row r="8" spans="1:13" x14ac:dyDescent="0.25">
      <c r="F8" s="1" t="s">
        <v>38</v>
      </c>
      <c r="G8" s="15">
        <f>G7/(M3*0.001)</f>
        <v>9.825327510917031</v>
      </c>
      <c r="I8" s="1" t="s">
        <v>38</v>
      </c>
      <c r="J8" s="15">
        <f>J7/(M3*0.001)</f>
        <v>9.825327510917031</v>
      </c>
    </row>
    <row r="9" spans="1:13" x14ac:dyDescent="0.25">
      <c r="F9" s="1" t="s">
        <v>24</v>
      </c>
      <c r="G9" s="16">
        <f>G6*G2+G8*M2</f>
        <v>197.98070257340333</v>
      </c>
      <c r="I9" s="1" t="s">
        <v>24</v>
      </c>
      <c r="J9" s="16">
        <f>J6*J2+J8*M2</f>
        <v>232.72748919931433</v>
      </c>
    </row>
    <row r="10" spans="1:13" x14ac:dyDescent="0.25">
      <c r="F10" s="1" t="s">
        <v>39</v>
      </c>
      <c r="G10" s="16">
        <f>0.507*POWER(M4,0.75)</f>
        <v>61.464081652262855</v>
      </c>
      <c r="I10" s="1" t="s">
        <v>39</v>
      </c>
      <c r="J10" s="16">
        <f>G10</f>
        <v>61.464081652262855</v>
      </c>
    </row>
    <row r="11" spans="1:13" x14ac:dyDescent="0.25">
      <c r="F11" s="1" t="s">
        <v>40</v>
      </c>
      <c r="G11" s="16">
        <f>G9-G10</f>
        <v>136.51662092114049</v>
      </c>
      <c r="I11" s="1" t="s">
        <v>40</v>
      </c>
      <c r="J11" s="16">
        <f>J9-J10</f>
        <v>171.26340754705149</v>
      </c>
    </row>
    <row r="12" spans="1:13" x14ac:dyDescent="0.25">
      <c r="F12" s="1" t="s">
        <v>41</v>
      </c>
      <c r="G12" s="16">
        <f>G11/5</f>
        <v>27.303324184228096</v>
      </c>
      <c r="I12" s="1" t="s">
        <v>41</v>
      </c>
      <c r="J12" s="16">
        <f>J11/5</f>
        <v>34.252681509410294</v>
      </c>
    </row>
    <row r="13" spans="1:13" x14ac:dyDescent="0.25">
      <c r="I13" s="1" t="s">
        <v>42</v>
      </c>
      <c r="J13" s="16">
        <f>J12-G12</f>
        <v>6.9493573251821985</v>
      </c>
    </row>
    <row r="14" spans="1:13" x14ac:dyDescent="0.25">
      <c r="G14" s="16"/>
      <c r="I14" s="1" t="s">
        <v>43</v>
      </c>
    </row>
    <row r="15" spans="1:13" x14ac:dyDescent="0.25">
      <c r="I15" s="1" t="s">
        <v>44</v>
      </c>
      <c r="J15" s="16">
        <f>J6*J2</f>
        <v>119.89342806394316</v>
      </c>
    </row>
    <row r="16" spans="1:13" x14ac:dyDescent="0.25">
      <c r="I16" s="1" t="s">
        <v>45</v>
      </c>
      <c r="J16" s="16">
        <f>G9-J15</f>
        <v>78.087274509460173</v>
      </c>
    </row>
    <row r="17" spans="7:10" x14ac:dyDescent="0.25">
      <c r="I17" s="1" t="s">
        <v>46</v>
      </c>
      <c r="J17" s="16">
        <f>J16/M2</f>
        <v>6.7996581774172915</v>
      </c>
    </row>
    <row r="18" spans="7:10" x14ac:dyDescent="0.25">
      <c r="I18" s="1" t="s">
        <v>42</v>
      </c>
      <c r="J18" s="15">
        <f>J17-G8</f>
        <v>-3.0256693334997395</v>
      </c>
    </row>
    <row r="22" spans="7:10" x14ac:dyDescent="0.25">
      <c r="G22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1756-B6AA-41BE-86D5-4B173A708F8F}">
  <dimension ref="A1:M41"/>
  <sheetViews>
    <sheetView zoomScaleNormal="100" workbookViewId="0">
      <selection activeCell="J2" sqref="J2"/>
    </sheetView>
  </sheetViews>
  <sheetFormatPr defaultColWidth="8.59765625" defaultRowHeight="13.2" x14ac:dyDescent="0.25"/>
  <cols>
    <col min="1" max="1" width="38.09765625" style="1" bestFit="1" customWidth="1"/>
    <col min="2" max="5" width="8.59765625" style="1"/>
    <col min="6" max="6" width="16.19921875" style="1" customWidth="1"/>
    <col min="7" max="8" width="8.59765625" style="1"/>
    <col min="9" max="9" width="15.59765625" style="1" bestFit="1" customWidth="1"/>
    <col min="10" max="10" width="10.8984375" style="1" bestFit="1" customWidth="1"/>
    <col min="11" max="16384" width="8.59765625" style="1"/>
  </cols>
  <sheetData>
    <row r="1" spans="1:13" x14ac:dyDescent="0.25">
      <c r="F1" s="13" t="s">
        <v>21</v>
      </c>
      <c r="I1" s="14" t="s">
        <v>22</v>
      </c>
      <c r="L1" s="13" t="s">
        <v>23</v>
      </c>
    </row>
    <row r="2" spans="1:13" x14ac:dyDescent="0.25">
      <c r="A2" s="1" t="s">
        <v>24</v>
      </c>
      <c r="B2" s="1">
        <f>Sammanställning!B5</f>
        <v>8</v>
      </c>
      <c r="F2" s="1" t="s">
        <v>24</v>
      </c>
      <c r="G2" s="1">
        <f>B2</f>
        <v>8</v>
      </c>
      <c r="I2" s="1" t="s">
        <v>24</v>
      </c>
      <c r="J2" s="1">
        <f>B2+(B3-B2)</f>
        <v>10</v>
      </c>
      <c r="L2" s="1" t="s">
        <v>25</v>
      </c>
      <c r="M2" s="15">
        <f>0.87*13.2</f>
        <v>11.484</v>
      </c>
    </row>
    <row r="3" spans="1:13" x14ac:dyDescent="0.25">
      <c r="A3" s="1" t="s">
        <v>26</v>
      </c>
      <c r="B3" s="1">
        <f>Sammanställning!B6</f>
        <v>10</v>
      </c>
      <c r="F3" s="1" t="s">
        <v>27</v>
      </c>
      <c r="G3" s="16">
        <f>919-B2*35.6</f>
        <v>634.20000000000005</v>
      </c>
      <c r="I3" s="1" t="s">
        <v>27</v>
      </c>
      <c r="J3" s="16">
        <f>919-J2*35.6</f>
        <v>563</v>
      </c>
      <c r="L3" s="1" t="s">
        <v>28</v>
      </c>
      <c r="M3" s="1">
        <v>229</v>
      </c>
    </row>
    <row r="4" spans="1:13" ht="13.8" x14ac:dyDescent="0.25">
      <c r="B4" s="17"/>
      <c r="F4" s="1" t="s">
        <v>29</v>
      </c>
      <c r="G4" s="1">
        <f>0.01*M4</f>
        <v>3</v>
      </c>
      <c r="I4" s="1" t="s">
        <v>29</v>
      </c>
      <c r="J4" s="1">
        <f>G4</f>
        <v>3</v>
      </c>
      <c r="L4" t="s">
        <v>30</v>
      </c>
      <c r="M4" s="1">
        <v>300</v>
      </c>
    </row>
    <row r="5" spans="1:13" x14ac:dyDescent="0.25">
      <c r="A5" s="1" t="s">
        <v>31</v>
      </c>
      <c r="F5" s="1" t="s">
        <v>32</v>
      </c>
      <c r="G5" s="1">
        <f>0.75*G4</f>
        <v>2.25</v>
      </c>
      <c r="I5" s="1" t="s">
        <v>32</v>
      </c>
      <c r="J5" s="1">
        <f>0.75*J4</f>
        <v>2.25</v>
      </c>
    </row>
    <row r="6" spans="1:13" x14ac:dyDescent="0.25">
      <c r="A6" s="1" t="s">
        <v>47</v>
      </c>
      <c r="B6" s="18">
        <f>J13</f>
        <v>0.2200629819641029</v>
      </c>
      <c r="F6" s="1" t="s">
        <v>34</v>
      </c>
      <c r="G6" s="15">
        <f>G5/(G3*0.001)</f>
        <v>3.5477767265846731</v>
      </c>
      <c r="I6" s="1" t="s">
        <v>34</v>
      </c>
      <c r="J6" s="15">
        <f>J5/(J3*0.001)</f>
        <v>3.9964476021314383</v>
      </c>
      <c r="L6" s="1" t="s">
        <v>35</v>
      </c>
    </row>
    <row r="7" spans="1:13" x14ac:dyDescent="0.25">
      <c r="A7" s="1" t="s">
        <v>48</v>
      </c>
      <c r="B7" s="15">
        <f>J18</f>
        <v>-1.0085564444999124</v>
      </c>
      <c r="F7" s="1" t="s">
        <v>37</v>
      </c>
      <c r="G7" s="1">
        <f>0.25*G4</f>
        <v>0.75</v>
      </c>
      <c r="I7" s="1" t="s">
        <v>37</v>
      </c>
      <c r="J7" s="1">
        <f>0.25*J4</f>
        <v>0.75</v>
      </c>
    </row>
    <row r="8" spans="1:13" x14ac:dyDescent="0.25">
      <c r="F8" s="1" t="s">
        <v>38</v>
      </c>
      <c r="G8" s="15">
        <f>G7/(M3*0.001)</f>
        <v>3.2751091703056767</v>
      </c>
      <c r="I8" s="1" t="s">
        <v>38</v>
      </c>
      <c r="J8" s="15">
        <f>J7/(M3*0.001)</f>
        <v>3.2751091703056767</v>
      </c>
    </row>
    <row r="9" spans="1:13" x14ac:dyDescent="0.25">
      <c r="F9" s="1" t="s">
        <v>24</v>
      </c>
      <c r="G9" s="16">
        <f>G6*G2+G8*M2</f>
        <v>65.993567524467778</v>
      </c>
      <c r="I9" s="1" t="s">
        <v>24</v>
      </c>
      <c r="J9" s="16">
        <f>J6*J2+J8*M2</f>
        <v>77.575829733104769</v>
      </c>
    </row>
    <row r="10" spans="1:13" x14ac:dyDescent="0.25">
      <c r="F10" s="1" t="s">
        <v>39</v>
      </c>
      <c r="G10" s="16">
        <f>0.475*POWER(M4,0.75)</f>
        <v>34.240062651420239</v>
      </c>
      <c r="I10" s="1" t="s">
        <v>39</v>
      </c>
      <c r="J10" s="16">
        <f>G10</f>
        <v>34.240062651420239</v>
      </c>
    </row>
    <row r="11" spans="1:13" x14ac:dyDescent="0.25">
      <c r="F11" s="1" t="s">
        <v>49</v>
      </c>
      <c r="G11" s="16">
        <f>G9-G10</f>
        <v>31.75350487304754</v>
      </c>
      <c r="I11" s="1" t="s">
        <v>49</v>
      </c>
      <c r="J11" s="16">
        <f>J9-J10</f>
        <v>43.33576708168453</v>
      </c>
    </row>
    <row r="12" spans="1:13" x14ac:dyDescent="0.25">
      <c r="F12" s="1" t="s">
        <v>50</v>
      </c>
      <c r="G12" s="19">
        <f>0.225+0.019*G11</f>
        <v>0.82831659258790324</v>
      </c>
      <c r="I12" s="1" t="s">
        <v>50</v>
      </c>
      <c r="J12" s="19">
        <f>0.225+0.019*J11</f>
        <v>1.0483795745520061</v>
      </c>
    </row>
    <row r="13" spans="1:13" x14ac:dyDescent="0.25">
      <c r="I13" s="1" t="s">
        <v>42</v>
      </c>
      <c r="J13" s="18">
        <f>J12-G12</f>
        <v>0.2200629819641029</v>
      </c>
    </row>
    <row r="14" spans="1:13" x14ac:dyDescent="0.25">
      <c r="G14" s="16"/>
      <c r="I14" s="1" t="s">
        <v>43</v>
      </c>
    </row>
    <row r="15" spans="1:13" x14ac:dyDescent="0.25">
      <c r="I15" s="1" t="s">
        <v>44</v>
      </c>
      <c r="J15" s="16">
        <f>J6*J2</f>
        <v>39.964476021314383</v>
      </c>
    </row>
    <row r="16" spans="1:13" x14ac:dyDescent="0.25">
      <c r="I16" s="1" t="s">
        <v>45</v>
      </c>
      <c r="J16" s="16">
        <f>G9-J15</f>
        <v>26.029091503153396</v>
      </c>
    </row>
    <row r="17" spans="1:10" x14ac:dyDescent="0.25">
      <c r="I17" s="1" t="s">
        <v>46</v>
      </c>
      <c r="J17" s="15">
        <f>J16/M2</f>
        <v>2.2665527258057643</v>
      </c>
    </row>
    <row r="18" spans="1:10" x14ac:dyDescent="0.25">
      <c r="I18" s="1" t="s">
        <v>42</v>
      </c>
      <c r="J18" s="15">
        <f>J17-G8</f>
        <v>-1.0085564444999124</v>
      </c>
    </row>
    <row r="22" spans="1:10" x14ac:dyDescent="0.25">
      <c r="G22" s="16"/>
    </row>
    <row r="29" spans="1:10" ht="13.8" x14ac:dyDescent="0.25">
      <c r="A29"/>
    </row>
    <row r="41" spans="5:5" x14ac:dyDescent="0.25">
      <c r="E41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E445-2A1C-4AE3-8578-C9517868F8D0}">
  <dimension ref="A1:M22"/>
  <sheetViews>
    <sheetView zoomScaleNormal="100" workbookViewId="0">
      <selection activeCell="J2" sqref="J2"/>
    </sheetView>
  </sheetViews>
  <sheetFormatPr defaultColWidth="8.59765625" defaultRowHeight="13.2" x14ac:dyDescent="0.25"/>
  <cols>
    <col min="1" max="1" width="38.09765625" style="1" bestFit="1" customWidth="1"/>
    <col min="2" max="5" width="8.59765625" style="1"/>
    <col min="6" max="6" width="16.19921875" style="1" customWidth="1"/>
    <col min="7" max="8" width="8.59765625" style="1"/>
    <col min="9" max="9" width="15.59765625" style="1" bestFit="1" customWidth="1"/>
    <col min="10" max="10" width="10.8984375" style="1" bestFit="1" customWidth="1"/>
    <col min="11" max="16384" width="8.59765625" style="1"/>
  </cols>
  <sheetData>
    <row r="1" spans="1:13" x14ac:dyDescent="0.25">
      <c r="F1" s="13" t="s">
        <v>21</v>
      </c>
      <c r="I1" s="14" t="s">
        <v>22</v>
      </c>
      <c r="L1" s="13" t="s">
        <v>23</v>
      </c>
    </row>
    <row r="2" spans="1:13" x14ac:dyDescent="0.25">
      <c r="A2" s="1" t="s">
        <v>24</v>
      </c>
      <c r="B2" s="1">
        <f>Sammanställning!B5</f>
        <v>8</v>
      </c>
      <c r="F2" s="1" t="s">
        <v>24</v>
      </c>
      <c r="G2" s="1">
        <f>B2</f>
        <v>8</v>
      </c>
      <c r="I2" s="1" t="s">
        <v>24</v>
      </c>
      <c r="J2" s="1">
        <f>B2+(B3-B2)</f>
        <v>10</v>
      </c>
      <c r="L2" s="1" t="s">
        <v>25</v>
      </c>
      <c r="M2" s="15">
        <f>0.87*13.2</f>
        <v>11.484</v>
      </c>
    </row>
    <row r="3" spans="1:13" x14ac:dyDescent="0.25">
      <c r="A3" s="1" t="s">
        <v>26</v>
      </c>
      <c r="B3" s="1">
        <f>Sammanställning!B6</f>
        <v>10</v>
      </c>
      <c r="F3" s="1" t="s">
        <v>27</v>
      </c>
      <c r="G3" s="16">
        <f>919-B2*35.6</f>
        <v>634.20000000000005</v>
      </c>
      <c r="I3" s="1" t="s">
        <v>27</v>
      </c>
      <c r="J3" s="16">
        <f>919-J2*35.6</f>
        <v>563</v>
      </c>
      <c r="L3" s="1" t="s">
        <v>28</v>
      </c>
      <c r="M3" s="1">
        <v>229</v>
      </c>
    </row>
    <row r="4" spans="1:13" ht="13.8" x14ac:dyDescent="0.25">
      <c r="B4" s="17"/>
      <c r="F4" s="1" t="s">
        <v>29</v>
      </c>
      <c r="G4" s="1">
        <f>0.015*M4</f>
        <v>1.05</v>
      </c>
      <c r="I4" s="1" t="s">
        <v>29</v>
      </c>
      <c r="J4" s="1">
        <f>G4</f>
        <v>1.05</v>
      </c>
      <c r="L4" t="s">
        <v>30</v>
      </c>
      <c r="M4" s="1">
        <v>70</v>
      </c>
    </row>
    <row r="5" spans="1:13" x14ac:dyDescent="0.25">
      <c r="A5" s="1" t="s">
        <v>31</v>
      </c>
      <c r="F5" s="1" t="s">
        <v>32</v>
      </c>
      <c r="G5" s="1">
        <f>0.75*G4</f>
        <v>0.78750000000000009</v>
      </c>
      <c r="I5" s="1" t="s">
        <v>32</v>
      </c>
      <c r="J5" s="1">
        <f>0.75*J4</f>
        <v>0.78750000000000009</v>
      </c>
      <c r="L5" s="1" t="s">
        <v>51</v>
      </c>
      <c r="M5" s="1">
        <v>2</v>
      </c>
    </row>
    <row r="6" spans="1:13" x14ac:dyDescent="0.25">
      <c r="A6" s="1" t="s">
        <v>52</v>
      </c>
      <c r="B6" s="18">
        <f>J13</f>
        <v>3.7835389881547554E-2</v>
      </c>
      <c r="F6" s="1" t="s">
        <v>34</v>
      </c>
      <c r="G6" s="15">
        <f>G5/(G3*0.001)</f>
        <v>1.2417218543046358</v>
      </c>
      <c r="I6" s="1" t="s">
        <v>34</v>
      </c>
      <c r="J6" s="15">
        <f>J5/(J3*0.001)</f>
        <v>1.3987566607460036</v>
      </c>
      <c r="L6" s="1" t="s">
        <v>35</v>
      </c>
    </row>
    <row r="7" spans="1:13" x14ac:dyDescent="0.25">
      <c r="A7" s="1" t="s">
        <v>53</v>
      </c>
      <c r="B7" s="15">
        <f>J18</f>
        <v>-0.35299475557496929</v>
      </c>
      <c r="F7" s="1" t="s">
        <v>37</v>
      </c>
      <c r="G7" s="1">
        <f>0.25*G4</f>
        <v>0.26250000000000001</v>
      </c>
      <c r="I7" s="1" t="s">
        <v>37</v>
      </c>
      <c r="J7" s="1">
        <f>0.25*J4</f>
        <v>0.26250000000000001</v>
      </c>
    </row>
    <row r="8" spans="1:13" x14ac:dyDescent="0.25">
      <c r="F8" s="1" t="s">
        <v>38</v>
      </c>
      <c r="G8" s="15">
        <f>G7/(M3*0.001)</f>
        <v>1.1462882096069869</v>
      </c>
      <c r="I8" s="1" t="s">
        <v>38</v>
      </c>
      <c r="J8" s="15">
        <f>J7/(M3*0.001)</f>
        <v>1.1462882096069869</v>
      </c>
    </row>
    <row r="9" spans="1:13" x14ac:dyDescent="0.25">
      <c r="F9" s="1" t="s">
        <v>24</v>
      </c>
      <c r="G9" s="15">
        <f>G6*G2+G8*M2</f>
        <v>23.097748633563725</v>
      </c>
      <c r="I9" s="1" t="s">
        <v>24</v>
      </c>
      <c r="J9" s="15">
        <f>J6*J2+J8*M2</f>
        <v>27.151540406586673</v>
      </c>
    </row>
    <row r="10" spans="1:13" x14ac:dyDescent="0.25">
      <c r="F10" s="1" t="s">
        <v>39</v>
      </c>
      <c r="G10" s="15">
        <f>0.395*POWER(M4,0.75)</f>
        <v>9.559179695349675</v>
      </c>
      <c r="I10" s="1" t="s">
        <v>39</v>
      </c>
      <c r="J10" s="15">
        <f>G10</f>
        <v>9.559179695349675</v>
      </c>
    </row>
    <row r="11" spans="1:13" x14ac:dyDescent="0.25">
      <c r="F11" s="1" t="s">
        <v>40</v>
      </c>
      <c r="G11" s="15">
        <f>G9-G10</f>
        <v>13.53856893821405</v>
      </c>
      <c r="I11" s="1" t="s">
        <v>40</v>
      </c>
      <c r="J11" s="15">
        <f>J9-J10</f>
        <v>17.592360711236999</v>
      </c>
    </row>
    <row r="12" spans="1:13" x14ac:dyDescent="0.25">
      <c r="F12" s="1" t="s">
        <v>54</v>
      </c>
      <c r="G12" s="18">
        <f>0.56*G11/M5/30</f>
        <v>0.12635997675666447</v>
      </c>
      <c r="I12" s="1" t="s">
        <v>54</v>
      </c>
      <c r="J12" s="18">
        <f>0.56*J11/M5/30</f>
        <v>0.16419536663821202</v>
      </c>
    </row>
    <row r="13" spans="1:13" x14ac:dyDescent="0.25">
      <c r="I13" s="1" t="s">
        <v>42</v>
      </c>
      <c r="J13" s="21">
        <f>J12-G12</f>
        <v>3.7835389881547554E-2</v>
      </c>
    </row>
    <row r="14" spans="1:13" x14ac:dyDescent="0.25">
      <c r="G14" s="16"/>
      <c r="I14" s="1" t="s">
        <v>43</v>
      </c>
      <c r="J14" s="22"/>
    </row>
    <row r="15" spans="1:13" x14ac:dyDescent="0.25">
      <c r="I15" s="1" t="s">
        <v>44</v>
      </c>
      <c r="J15" s="23">
        <f>J6*J2</f>
        <v>13.987566607460035</v>
      </c>
    </row>
    <row r="16" spans="1:13" x14ac:dyDescent="0.25">
      <c r="I16" s="1" t="s">
        <v>45</v>
      </c>
      <c r="J16" s="23">
        <f>G9-J15</f>
        <v>9.1101820261036899</v>
      </c>
    </row>
    <row r="17" spans="7:10" x14ac:dyDescent="0.25">
      <c r="I17" s="1" t="s">
        <v>46</v>
      </c>
      <c r="J17" s="23">
        <f>J16/M2</f>
        <v>0.79329345403201756</v>
      </c>
    </row>
    <row r="18" spans="7:10" x14ac:dyDescent="0.25">
      <c r="I18" s="1" t="s">
        <v>42</v>
      </c>
      <c r="J18" s="23">
        <f>J17-G8</f>
        <v>-0.35299475557496929</v>
      </c>
    </row>
    <row r="22" spans="7:10" x14ac:dyDescent="0.25">
      <c r="G22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Sammanställning</vt:lpstr>
      <vt:lpstr>Mjölkko</vt:lpstr>
      <vt:lpstr>Ungtjur</vt:lpstr>
      <vt:lpstr>Tacka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Dan-Axel Danielsson</dc:creator>
  <cp:lastModifiedBy>Dan-Axel Danielsson</cp:lastModifiedBy>
  <cp:lastPrinted>2022-06-09T08:13:07Z</cp:lastPrinted>
  <dcterms:created xsi:type="dcterms:W3CDTF">2021-04-07T08:36:25Z</dcterms:created>
  <dcterms:modified xsi:type="dcterms:W3CDTF">2023-01-13T07:22:18Z</dcterms:modified>
</cp:coreProperties>
</file>