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avdelning\Växt- och kontrollavdelningen\3 Greppa\MODULUNDERLAG\1C\"/>
    </mc:Choice>
  </mc:AlternateContent>
  <xr:revisionPtr revIDLastSave="0" documentId="8_{B44C3653-ECAF-4B88-8FAA-EECAA1520093}" xr6:coauthVersionLast="36" xr6:coauthVersionMax="36" xr10:uidLastSave="{00000000-0000-0000-0000-000000000000}"/>
  <bookViews>
    <workbookView xWindow="0" yWindow="0" windowWidth="23040" windowHeight="9060" tabRatio="843" activeTab="4" xr2:uid="{2F3827F2-BA2E-49EF-9090-75504E78388E}"/>
  </bookViews>
  <sheets>
    <sheet name="Introduktion" sheetId="1" r:id="rId1"/>
    <sheet name="Övergödning" sheetId="5" r:id="rId2"/>
    <sheet name="Ammoniak" sheetId="12" r:id="rId3"/>
    <sheet name="Utlakning" sheetId="17" r:id="rId4"/>
    <sheet name="Markhälsa" sheetId="6" r:id="rId5"/>
    <sheet name="Växtskydd" sheetId="4" r:id="rId6"/>
    <sheet name="Biologisk mångfald" sheetId="9" r:id="rId7"/>
    <sheet name="Klimat och Energi" sheetId="2" r:id="rId8"/>
    <sheet name="Figur" sheetId="14" state="hidden" r:id="rId9"/>
    <sheet name="Resultattabell" sheetId="11" r:id="rId10"/>
    <sheet name="Tabeller" sheetId="3" r:id="rId11"/>
    <sheet name="Ammoniaktabell" sheetId="13" r:id="rId12"/>
    <sheet name="Läckagetabell" sheetId="15" r:id="rId13"/>
  </sheets>
  <definedNames>
    <definedName name="Inriktning">Introduktion!$C$14</definedName>
    <definedName name="Tabellen">Tabeller!$A$7:$AO$21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B26" i="3" l="1"/>
  <c r="A36" i="11" l="1"/>
  <c r="A35" i="11"/>
  <c r="B173" i="3" l="1"/>
  <c r="G13" i="6"/>
  <c r="G12" i="6"/>
  <c r="C22" i="11" l="1"/>
  <c r="C21" i="11"/>
  <c r="C20" i="11"/>
  <c r="C19" i="11"/>
  <c r="B121" i="3" l="1"/>
  <c r="C121" i="3" s="1"/>
  <c r="D9" i="2" l="1"/>
  <c r="E9" i="2" s="1"/>
  <c r="C36" i="11" l="1"/>
  <c r="D36" i="11"/>
  <c r="B9" i="2"/>
  <c r="E20" i="2"/>
  <c r="E18" i="2" l="1"/>
  <c r="B8" i="11"/>
  <c r="C14" i="5"/>
  <c r="C103" i="13"/>
  <c r="C104" i="13"/>
  <c r="C102" i="13"/>
  <c r="C100" i="13"/>
  <c r="C101" i="13"/>
  <c r="C99" i="13"/>
  <c r="C97" i="13"/>
  <c r="C98" i="13"/>
  <c r="C96" i="13"/>
  <c r="C94" i="13"/>
  <c r="C95" i="13"/>
  <c r="C93" i="13"/>
  <c r="D11" i="13"/>
  <c r="D6" i="12"/>
  <c r="D7" i="12"/>
  <c r="D8" i="12"/>
  <c r="D12" i="12"/>
  <c r="D13" i="12"/>
  <c r="D14" i="12"/>
  <c r="D18" i="12"/>
  <c r="D19" i="12"/>
  <c r="D20" i="12"/>
  <c r="D24" i="12"/>
  <c r="D25" i="12"/>
  <c r="D26" i="12"/>
  <c r="C5" i="5"/>
  <c r="F7" i="14"/>
  <c r="B27" i="3"/>
  <c r="C92" i="13" l="1"/>
  <c r="B13" i="14"/>
  <c r="B12" i="14"/>
  <c r="A271" i="3"/>
  <c r="G8" i="6" l="1"/>
  <c r="C10" i="11" l="1"/>
  <c r="B8" i="14" s="1"/>
  <c r="B343" i="3" l="1"/>
  <c r="C27" i="15" l="1"/>
  <c r="C22" i="15"/>
  <c r="C17" i="15"/>
  <c r="C12" i="15"/>
  <c r="C7" i="15"/>
  <c r="C2" i="15"/>
  <c r="B338" i="3"/>
  <c r="D11" i="17"/>
  <c r="D10" i="17"/>
  <c r="D9" i="17"/>
  <c r="D8" i="17"/>
  <c r="D7" i="17"/>
  <c r="D6" i="17"/>
  <c r="C3" i="17"/>
  <c r="B330" i="3"/>
  <c r="B340" i="3" s="1"/>
  <c r="H334" i="3" s="1"/>
  <c r="I335" i="3" l="1"/>
  <c r="H336" i="3"/>
  <c r="F334" i="3"/>
  <c r="B345" i="3" s="1"/>
  <c r="H335" i="3"/>
  <c r="F336" i="3"/>
  <c r="I334" i="3"/>
  <c r="J334" i="3" s="1"/>
  <c r="F335" i="3"/>
  <c r="I336" i="3"/>
  <c r="G334" i="3"/>
  <c r="G336" i="3"/>
  <c r="G335" i="3"/>
  <c r="C32" i="15"/>
  <c r="B341" i="3" s="1"/>
  <c r="B342" i="3" s="1"/>
  <c r="B344" i="3" s="1"/>
  <c r="C7" i="11" s="1"/>
  <c r="B285" i="3"/>
  <c r="C285" i="3" s="1"/>
  <c r="F13" i="14" s="1"/>
  <c r="B284" i="3"/>
  <c r="C284" i="3" s="1"/>
  <c r="F12" i="14" s="1"/>
  <c r="C38" i="11"/>
  <c r="C37" i="11"/>
  <c r="B21" i="14"/>
  <c r="C35" i="11"/>
  <c r="C40" i="11"/>
  <c r="B25" i="14" s="1"/>
  <c r="C39" i="11"/>
  <c r="B24" i="14" s="1"/>
  <c r="C8" i="11"/>
  <c r="B6" i="14" s="1"/>
  <c r="C6" i="11"/>
  <c r="B4" i="14" s="1"/>
  <c r="C5" i="11"/>
  <c r="B3" i="14" s="1"/>
  <c r="B300" i="3"/>
  <c r="C300" i="3" s="1"/>
  <c r="F26" i="14" s="1"/>
  <c r="C46" i="11"/>
  <c r="C45" i="11"/>
  <c r="B28" i="14" s="1"/>
  <c r="C44" i="11"/>
  <c r="C43" i="11"/>
  <c r="B26" i="14" s="1"/>
  <c r="B35" i="11" l="1"/>
  <c r="B20" i="14"/>
  <c r="B36" i="11"/>
  <c r="B278" i="3"/>
  <c r="C278" i="3" s="1"/>
  <c r="F6" i="14" s="1"/>
  <c r="B38" i="11"/>
  <c r="B23" i="14"/>
  <c r="B37" i="11"/>
  <c r="B22" i="14"/>
  <c r="B5" i="14"/>
  <c r="B301" i="3"/>
  <c r="C301" i="3" s="1"/>
  <c r="F27" i="14" s="1"/>
  <c r="B27" i="14"/>
  <c r="J336" i="3"/>
  <c r="B346" i="3"/>
  <c r="J335" i="3"/>
  <c r="D15" i="17"/>
  <c r="O18" i="3"/>
  <c r="Y18" i="3" s="1"/>
  <c r="O17" i="3"/>
  <c r="Y17" i="3" s="1"/>
  <c r="O11" i="3"/>
  <c r="Y11" i="3" s="1"/>
  <c r="O10" i="3"/>
  <c r="Y10" i="3" s="1"/>
  <c r="Y9" i="3"/>
  <c r="Z9" i="3"/>
  <c r="Y12" i="3"/>
  <c r="Z12" i="3"/>
  <c r="AA12" i="3" s="1"/>
  <c r="Y13" i="3"/>
  <c r="Z13" i="3"/>
  <c r="Y15" i="3"/>
  <c r="Z15" i="3"/>
  <c r="AA15" i="3"/>
  <c r="Y16" i="3"/>
  <c r="Z16" i="3"/>
  <c r="Y19" i="3"/>
  <c r="Z19" i="3"/>
  <c r="Z8" i="3"/>
  <c r="Y8" i="3"/>
  <c r="B302" i="3"/>
  <c r="C302" i="3" s="1"/>
  <c r="F28" i="14" s="1"/>
  <c r="AA16" i="3" l="1"/>
  <c r="AA9" i="3"/>
  <c r="AA13" i="3"/>
  <c r="Z17" i="3"/>
  <c r="AA17" i="3" s="1"/>
  <c r="AA8" i="3"/>
  <c r="AA19" i="3"/>
  <c r="B12" i="5"/>
  <c r="C11" i="5" s="1"/>
  <c r="Z18" i="3"/>
  <c r="AA18" i="3" s="1"/>
  <c r="Z11" i="3"/>
  <c r="AA11" i="3" s="1"/>
  <c r="Z10" i="3"/>
  <c r="AA10" i="3" s="1"/>
  <c r="E35" i="3"/>
  <c r="F34" i="3" s="1"/>
  <c r="C35" i="3"/>
  <c r="D34" i="3" s="1"/>
  <c r="A297" i="3"/>
  <c r="A296" i="3"/>
  <c r="V9" i="3"/>
  <c r="W9" i="3"/>
  <c r="V10" i="3"/>
  <c r="W10" i="3"/>
  <c r="V11" i="3"/>
  <c r="W11" i="3"/>
  <c r="V12" i="3"/>
  <c r="W12" i="3"/>
  <c r="V13" i="3"/>
  <c r="W13" i="3"/>
  <c r="V15" i="3"/>
  <c r="W15" i="3"/>
  <c r="V16" i="3"/>
  <c r="W16" i="3"/>
  <c r="V17" i="3"/>
  <c r="W17" i="3"/>
  <c r="V18" i="3"/>
  <c r="W18" i="3"/>
  <c r="V19" i="3"/>
  <c r="W19" i="3"/>
  <c r="W8" i="3"/>
  <c r="V8" i="3"/>
  <c r="X8" i="3" l="1"/>
  <c r="X18" i="3"/>
  <c r="X15" i="3"/>
  <c r="X10" i="3"/>
  <c r="X13" i="3"/>
  <c r="C34" i="3"/>
  <c r="D35" i="3" s="1"/>
  <c r="E34" i="3"/>
  <c r="F35" i="3" s="1"/>
  <c r="X19" i="3"/>
  <c r="X17" i="3"/>
  <c r="X9" i="3"/>
  <c r="X12" i="3"/>
  <c r="X11" i="3"/>
  <c r="X16" i="3"/>
  <c r="F67" i="3"/>
  <c r="L15" i="3"/>
  <c r="M15" i="3"/>
  <c r="L16" i="3"/>
  <c r="T16" i="3" s="1"/>
  <c r="M16" i="3"/>
  <c r="L17" i="3"/>
  <c r="M17" i="3"/>
  <c r="L18" i="3"/>
  <c r="M18" i="3"/>
  <c r="L19" i="3"/>
  <c r="M19" i="3"/>
  <c r="L20" i="3"/>
  <c r="M20" i="3"/>
  <c r="L11" i="3"/>
  <c r="M11" i="3"/>
  <c r="K11" i="3"/>
  <c r="M9" i="3"/>
  <c r="M10" i="3"/>
  <c r="M12" i="3"/>
  <c r="M13" i="3"/>
  <c r="L8" i="3"/>
  <c r="L9" i="3"/>
  <c r="L10" i="3"/>
  <c r="L12" i="3"/>
  <c r="L13" i="3"/>
  <c r="K9" i="3"/>
  <c r="K10" i="3"/>
  <c r="S10" i="3" s="1"/>
  <c r="K12" i="3"/>
  <c r="S12" i="3" s="1"/>
  <c r="K13" i="3"/>
  <c r="S13" i="3" s="1"/>
  <c r="M8" i="3"/>
  <c r="K15" i="3"/>
  <c r="K16" i="3"/>
  <c r="K17" i="3"/>
  <c r="K18" i="3"/>
  <c r="S18" i="3" s="1"/>
  <c r="K19" i="3"/>
  <c r="S19" i="3" s="1"/>
  <c r="K20" i="3"/>
  <c r="S20" i="3" s="1"/>
  <c r="K8" i="3"/>
  <c r="S8" i="3" s="1"/>
  <c r="S16" i="3" l="1"/>
  <c r="S15" i="3"/>
  <c r="T18" i="3"/>
  <c r="T9" i="3"/>
  <c r="S11" i="3"/>
  <c r="T17" i="3"/>
  <c r="T8" i="3"/>
  <c r="U8" i="3" s="1"/>
  <c r="T20" i="3"/>
  <c r="U20" i="3" s="1"/>
  <c r="T12" i="3"/>
  <c r="T11" i="3"/>
  <c r="S9" i="3"/>
  <c r="T13" i="3"/>
  <c r="U13" i="3" s="1"/>
  <c r="S17" i="3"/>
  <c r="T10" i="3"/>
  <c r="U10" i="3" s="1"/>
  <c r="U16" i="3"/>
  <c r="U18" i="3"/>
  <c r="U12" i="3"/>
  <c r="T19" i="3"/>
  <c r="U19" i="3" s="1"/>
  <c r="T15" i="3"/>
  <c r="U15" i="3" s="1"/>
  <c r="U11" i="3" l="1"/>
  <c r="U9" i="3"/>
  <c r="U17" i="3"/>
  <c r="G4" i="6"/>
  <c r="G5" i="6"/>
  <c r="G6" i="6"/>
  <c r="G7" i="6"/>
  <c r="G9" i="6"/>
  <c r="G10" i="6"/>
  <c r="G11" i="6"/>
  <c r="G14" i="6"/>
  <c r="G15" i="6"/>
  <c r="G16" i="6"/>
  <c r="G3" i="6"/>
  <c r="E27" i="6" l="1"/>
  <c r="E24" i="6"/>
  <c r="E26" i="6"/>
  <c r="E25" i="6"/>
  <c r="M3" i="4" l="1"/>
  <c r="M4" i="4"/>
  <c r="M2" i="4"/>
  <c r="L37" i="4" l="1"/>
  <c r="L27" i="4"/>
  <c r="L16" i="4"/>
  <c r="L6" i="4"/>
  <c r="N3" i="4" s="1"/>
  <c r="J32" i="4"/>
  <c r="J31" i="4"/>
  <c r="J30" i="4"/>
  <c r="J29" i="4"/>
  <c r="J13" i="4"/>
  <c r="J12" i="4"/>
  <c r="J11" i="4"/>
  <c r="J10" i="4"/>
  <c r="J9" i="4"/>
  <c r="J8" i="4"/>
  <c r="J14" i="4"/>
  <c r="D21" i="11" l="1"/>
  <c r="J61" i="4"/>
  <c r="I61" i="4"/>
  <c r="J33" i="4"/>
  <c r="J6" i="4" l="1"/>
  <c r="K30" i="4"/>
  <c r="K29" i="4"/>
  <c r="J35" i="4"/>
  <c r="J34" i="4"/>
  <c r="J27" i="4"/>
  <c r="K28" i="4" l="1"/>
  <c r="K32" i="4" s="1"/>
  <c r="K8" i="4"/>
  <c r="N2" i="4"/>
  <c r="I68" i="4"/>
  <c r="I51" i="4"/>
  <c r="I52" i="4" s="1"/>
  <c r="I50" i="4"/>
  <c r="J50" i="4" s="1"/>
  <c r="B283" i="3" s="1"/>
  <c r="C283" i="3" s="1"/>
  <c r="F11" i="14" s="1"/>
  <c r="N4" i="4" l="1"/>
  <c r="O4" i="4" s="1"/>
  <c r="O2" i="4"/>
  <c r="K11" i="4"/>
  <c r="O3" i="4"/>
  <c r="K12" i="4"/>
  <c r="D6" i="4" s="1"/>
  <c r="D27" i="4"/>
  <c r="B271" i="3"/>
  <c r="D4" i="4" s="1"/>
  <c r="B171" i="3"/>
  <c r="B170" i="3"/>
  <c r="O5" i="4" l="1"/>
  <c r="P5" i="4" s="1"/>
  <c r="B172" i="3"/>
  <c r="B120" i="3"/>
  <c r="C120" i="3" s="1"/>
  <c r="I67" i="4"/>
  <c r="J67" i="4" s="1"/>
  <c r="B286" i="3" s="1"/>
  <c r="C286" i="3" s="1"/>
  <c r="F14" i="14" s="1"/>
  <c r="I56" i="4"/>
  <c r="J56" i="4" s="1"/>
  <c r="D20" i="11" s="1"/>
  <c r="D72" i="4"/>
  <c r="D71" i="4"/>
  <c r="D70" i="4"/>
  <c r="D69" i="4"/>
  <c r="D65" i="4"/>
  <c r="D64" i="4"/>
  <c r="D63" i="4"/>
  <c r="D62" i="4"/>
  <c r="D61" i="4"/>
  <c r="D58" i="4"/>
  <c r="D57" i="4"/>
  <c r="D56" i="4"/>
  <c r="D53" i="4"/>
  <c r="D52" i="4"/>
  <c r="D51" i="4"/>
  <c r="D50" i="4"/>
  <c r="D49" i="4"/>
  <c r="C28" i="5"/>
  <c r="C26" i="5"/>
  <c r="C24" i="5"/>
  <c r="C22" i="5"/>
  <c r="C20" i="5"/>
  <c r="G10" i="9" l="1"/>
  <c r="H10" i="9" s="1"/>
  <c r="D30" i="11" s="1"/>
  <c r="C18" i="11"/>
  <c r="B10" i="14" s="1"/>
  <c r="B282" i="3"/>
  <c r="D18" i="11"/>
  <c r="B292" i="3"/>
  <c r="C30" i="11" l="1"/>
  <c r="B19" i="14" s="1"/>
  <c r="C282" i="3"/>
  <c r="F10" i="14" s="1"/>
  <c r="C292" i="3"/>
  <c r="F19" i="14" s="1"/>
  <c r="B25" i="3"/>
  <c r="B24" i="3"/>
  <c r="C33" i="11"/>
  <c r="D72" i="3"/>
  <c r="D71" i="3"/>
  <c r="D70" i="3"/>
  <c r="D73" i="3"/>
  <c r="C73" i="3"/>
  <c r="C72" i="3"/>
  <c r="C71" i="3"/>
  <c r="C70" i="3"/>
  <c r="C90" i="13"/>
  <c r="D1" i="13"/>
  <c r="C75" i="13" s="1"/>
  <c r="G67" i="3"/>
  <c r="B280" i="3" s="1"/>
  <c r="C280" i="3" s="1"/>
  <c r="F8" i="14" s="1"/>
  <c r="C71" i="13"/>
  <c r="D61" i="13" s="1"/>
  <c r="C70" i="13"/>
  <c r="C69" i="13"/>
  <c r="D21" i="13" s="1"/>
  <c r="C68" i="13"/>
  <c r="D16" i="13" s="1"/>
  <c r="D46" i="13"/>
  <c r="D41" i="13"/>
  <c r="D36" i="13"/>
  <c r="D31" i="13"/>
  <c r="D26" i="13"/>
  <c r="C3" i="12"/>
  <c r="C78" i="13" l="1"/>
  <c r="C80" i="13" s="1"/>
  <c r="C77" i="13"/>
  <c r="C79" i="13" s="1"/>
  <c r="C75" i="3"/>
  <c r="D75" i="3"/>
  <c r="D51" i="13"/>
  <c r="D56" i="13"/>
  <c r="C81" i="13" l="1"/>
  <c r="E75" i="3"/>
  <c r="C11" i="11" s="1"/>
  <c r="B9" i="14" s="1"/>
  <c r="G75" i="3"/>
  <c r="C63" i="3"/>
  <c r="B63" i="3"/>
  <c r="D3" i="13"/>
  <c r="D4" i="13" s="1"/>
  <c r="H20" i="3"/>
  <c r="J20" i="3" s="1"/>
  <c r="Q20" i="3" s="1"/>
  <c r="H19" i="3"/>
  <c r="J19" i="3" s="1"/>
  <c r="Q19" i="3" s="1"/>
  <c r="H18" i="3"/>
  <c r="I18" i="3" s="1"/>
  <c r="P18" i="3" s="1"/>
  <c r="H17" i="3"/>
  <c r="I17" i="3" s="1"/>
  <c r="P17" i="3" s="1"/>
  <c r="H16" i="3"/>
  <c r="I16" i="3" s="1"/>
  <c r="P16" i="3" s="1"/>
  <c r="H15" i="3"/>
  <c r="J15" i="3" s="1"/>
  <c r="Q15" i="3" s="1"/>
  <c r="H13" i="3"/>
  <c r="J13" i="3" s="1"/>
  <c r="Q13" i="3" s="1"/>
  <c r="H12" i="3"/>
  <c r="J12" i="3" s="1"/>
  <c r="Q12" i="3" s="1"/>
  <c r="H11" i="3"/>
  <c r="J11" i="3" s="1"/>
  <c r="Q11" i="3" s="1"/>
  <c r="H10" i="3"/>
  <c r="J10" i="3" s="1"/>
  <c r="Q10" i="3" s="1"/>
  <c r="H9" i="3"/>
  <c r="J9" i="3" s="1"/>
  <c r="Q9" i="3" s="1"/>
  <c r="H8" i="3"/>
  <c r="J8" i="3" s="1"/>
  <c r="Q8" i="3" s="1"/>
  <c r="H14" i="3"/>
  <c r="H7" i="3"/>
  <c r="J14" i="3" l="1"/>
  <c r="Q14" i="3" s="1"/>
  <c r="B5" i="11"/>
  <c r="C9" i="5"/>
  <c r="B6" i="11"/>
  <c r="J7" i="3"/>
  <c r="Q7" i="3" s="1"/>
  <c r="E77" i="3"/>
  <c r="D11" i="11" s="1"/>
  <c r="C89" i="13"/>
  <c r="D6" i="13"/>
  <c r="D73" i="13" s="1"/>
  <c r="C76" i="13" s="1"/>
  <c r="D76" i="13" s="1"/>
  <c r="I11" i="3"/>
  <c r="P11" i="3" s="1"/>
  <c r="R11" i="3" s="1"/>
  <c r="J16" i="3"/>
  <c r="Q16" i="3" s="1"/>
  <c r="R16" i="3" s="1"/>
  <c r="J17" i="3"/>
  <c r="Q17" i="3" s="1"/>
  <c r="R17" i="3" s="1"/>
  <c r="I20" i="3"/>
  <c r="P20" i="3" s="1"/>
  <c r="R20" i="3" s="1"/>
  <c r="I19" i="3"/>
  <c r="J18" i="3"/>
  <c r="Q18" i="3" s="1"/>
  <c r="R18" i="3" s="1"/>
  <c r="I15" i="3"/>
  <c r="P15" i="3" s="1"/>
  <c r="R15" i="3" s="1"/>
  <c r="I13" i="3"/>
  <c r="P13" i="3" s="1"/>
  <c r="R13" i="3" s="1"/>
  <c r="I12" i="3"/>
  <c r="P12" i="3" s="1"/>
  <c r="R12" i="3" s="1"/>
  <c r="I9" i="3"/>
  <c r="P9" i="3" s="1"/>
  <c r="R9" i="3" s="1"/>
  <c r="I10" i="3"/>
  <c r="P10" i="3" s="1"/>
  <c r="R10" i="3" s="1"/>
  <c r="I8" i="3"/>
  <c r="P8" i="3" s="1"/>
  <c r="R8" i="3" s="1"/>
  <c r="I14" i="3"/>
  <c r="P14" i="3" s="1"/>
  <c r="R14" i="3" s="1"/>
  <c r="I7" i="3"/>
  <c r="D158" i="3"/>
  <c r="C158" i="3"/>
  <c r="B299" i="3"/>
  <c r="C299" i="3" s="1"/>
  <c r="F25" i="14" s="1"/>
  <c r="B297" i="3"/>
  <c r="C297" i="3" s="1"/>
  <c r="F23" i="14" s="1"/>
  <c r="B296" i="3"/>
  <c r="C296" i="3" s="1"/>
  <c r="F22" i="14" s="1"/>
  <c r="B295" i="3"/>
  <c r="C295" i="3" s="1"/>
  <c r="F21" i="14" s="1"/>
  <c r="B294" i="3"/>
  <c r="C294" i="3" s="1"/>
  <c r="F20" i="14" s="1"/>
  <c r="D8" i="11"/>
  <c r="B276" i="3"/>
  <c r="A38" i="11"/>
  <c r="A37" i="11"/>
  <c r="C17" i="5" l="1"/>
  <c r="D9" i="11" s="1"/>
  <c r="D29" i="12"/>
  <c r="B17" i="5" s="1"/>
  <c r="C9" i="11" s="1"/>
  <c r="P19" i="3"/>
  <c r="R19" i="3" s="1"/>
  <c r="C82" i="13"/>
  <c r="B279" i="3" s="1"/>
  <c r="C279" i="3" s="1"/>
  <c r="B298" i="3"/>
  <c r="B43" i="11"/>
  <c r="B275" i="3"/>
  <c r="C275" i="3" s="1"/>
  <c r="F3" i="14" s="1"/>
  <c r="P7" i="3"/>
  <c r="R7" i="3" s="1"/>
  <c r="C276" i="3"/>
  <c r="F4" i="14" s="1"/>
  <c r="E15" i="2"/>
  <c r="D40" i="11" s="1"/>
  <c r="C298" i="3" l="1"/>
  <c r="F24" i="14" s="1"/>
  <c r="D149" i="3"/>
  <c r="C149" i="3"/>
  <c r="I62" i="4"/>
  <c r="I63" i="4" s="1"/>
  <c r="I57" i="4"/>
  <c r="I58" i="4" s="1"/>
  <c r="I69" i="4"/>
  <c r="I64" i="4" l="1"/>
  <c r="I59" i="4"/>
  <c r="I53" i="4"/>
  <c r="I70" i="4"/>
  <c r="E13" i="2"/>
  <c r="D38" i="11" s="1"/>
  <c r="E12" i="2"/>
  <c r="D37" i="11" s="1"/>
  <c r="C132" i="3"/>
  <c r="E132" i="3" s="1"/>
  <c r="D132" i="3"/>
  <c r="F132" i="3" s="1"/>
  <c r="C133" i="3"/>
  <c r="E133" i="3" s="1"/>
  <c r="D133" i="3"/>
  <c r="F133" i="3" s="1"/>
  <c r="G133" i="3" s="1"/>
  <c r="C134" i="3"/>
  <c r="E134" i="3" s="1"/>
  <c r="D134" i="3"/>
  <c r="F134" i="3" s="1"/>
  <c r="G134" i="3" s="1"/>
  <c r="C135" i="3"/>
  <c r="E135" i="3" s="1"/>
  <c r="D135" i="3"/>
  <c r="F135" i="3" s="1"/>
  <c r="C136" i="3"/>
  <c r="E136" i="3" s="1"/>
  <c r="D136" i="3"/>
  <c r="F136" i="3" s="1"/>
  <c r="C137" i="3"/>
  <c r="E137" i="3" s="1"/>
  <c r="D137" i="3"/>
  <c r="F137" i="3" s="1"/>
  <c r="G137" i="3" s="1"/>
  <c r="C138" i="3"/>
  <c r="E138" i="3" s="1"/>
  <c r="D138" i="3"/>
  <c r="F138" i="3" s="1"/>
  <c r="G138" i="3" s="1"/>
  <c r="C139" i="3"/>
  <c r="E139" i="3" s="1"/>
  <c r="D139" i="3"/>
  <c r="F139" i="3" s="1"/>
  <c r="C140" i="3"/>
  <c r="E140" i="3" s="1"/>
  <c r="D140" i="3"/>
  <c r="F140" i="3" s="1"/>
  <c r="G140" i="3" s="1"/>
  <c r="C141" i="3"/>
  <c r="E141" i="3" s="1"/>
  <c r="D141" i="3"/>
  <c r="F141" i="3" s="1"/>
  <c r="G141" i="3" s="1"/>
  <c r="C142" i="3"/>
  <c r="E142" i="3" s="1"/>
  <c r="D142" i="3"/>
  <c r="F142" i="3" s="1"/>
  <c r="G142" i="3" s="1"/>
  <c r="C143" i="3"/>
  <c r="E143" i="3" s="1"/>
  <c r="D143" i="3"/>
  <c r="F143" i="3" s="1"/>
  <c r="C144" i="3"/>
  <c r="E144" i="3" s="1"/>
  <c r="D144" i="3"/>
  <c r="F144" i="3" s="1"/>
  <c r="G144" i="3" s="1"/>
  <c r="C145" i="3"/>
  <c r="E145" i="3" s="1"/>
  <c r="D145" i="3"/>
  <c r="F145" i="3" s="1"/>
  <c r="G145" i="3" s="1"/>
  <c r="C146" i="3"/>
  <c r="E146" i="3" s="1"/>
  <c r="D146" i="3"/>
  <c r="F146" i="3" s="1"/>
  <c r="G146" i="3" s="1"/>
  <c r="D131" i="3"/>
  <c r="F131" i="3" s="1"/>
  <c r="C131" i="3"/>
  <c r="E131" i="3" s="1"/>
  <c r="G136" i="3" l="1"/>
  <c r="B14" i="14"/>
  <c r="B9" i="11"/>
  <c r="B7" i="14"/>
  <c r="G131" i="3"/>
  <c r="G139" i="3"/>
  <c r="G135" i="3"/>
  <c r="G143" i="3"/>
  <c r="G132" i="3"/>
  <c r="B11" i="14"/>
  <c r="J70" i="4"/>
  <c r="D22" i="11" s="1"/>
  <c r="J64" i="4"/>
  <c r="J59" i="4"/>
  <c r="J53" i="4"/>
  <c r="I76" i="4"/>
  <c r="D19" i="11" l="1"/>
  <c r="E30" i="6"/>
  <c r="E29" i="6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82" i="3"/>
  <c r="D31" i="6" l="1"/>
  <c r="D118" i="3"/>
  <c r="E117" i="3"/>
  <c r="C118" i="3"/>
  <c r="G118" i="3"/>
  <c r="F118" i="3"/>
  <c r="E118" i="3"/>
  <c r="D117" i="3"/>
  <c r="C117" i="3"/>
  <c r="F117" i="3"/>
  <c r="G117" i="3"/>
  <c r="E119" i="3" l="1"/>
  <c r="G7" i="9" s="1"/>
  <c r="H7" i="9" s="1"/>
  <c r="F119" i="3"/>
  <c r="G8" i="9" s="1"/>
  <c r="H8" i="9" s="1"/>
  <c r="C119" i="3"/>
  <c r="G5" i="9" s="1"/>
  <c r="H5" i="9" s="1"/>
  <c r="D119" i="3"/>
  <c r="G6" i="9" s="1"/>
  <c r="H6" i="9" s="1"/>
  <c r="C14" i="11"/>
  <c r="B281" i="3" s="1"/>
  <c r="E31" i="6"/>
  <c r="D14" i="11" s="1"/>
  <c r="D5" i="11"/>
  <c r="D6" i="11"/>
  <c r="D10" i="11"/>
  <c r="C281" i="3" l="1"/>
  <c r="F9" i="14" s="1"/>
  <c r="D27" i="11"/>
  <c r="C27" i="11"/>
  <c r="D26" i="11"/>
  <c r="C26" i="11"/>
  <c r="D29" i="11"/>
  <c r="C29" i="11"/>
  <c r="D28" i="11"/>
  <c r="C28" i="11"/>
  <c r="B291" i="3" l="1"/>
  <c r="C291" i="3" s="1"/>
  <c r="F18" i="14" s="1"/>
  <c r="B18" i="14"/>
  <c r="B288" i="3"/>
  <c r="C288" i="3" s="1"/>
  <c r="F15" i="14" s="1"/>
  <c r="B15" i="14"/>
  <c r="B289" i="3"/>
  <c r="C289" i="3" s="1"/>
  <c r="F16" i="14" s="1"/>
  <c r="B16" i="14"/>
  <c r="B290" i="3"/>
  <c r="C290" i="3" s="1"/>
  <c r="F17" i="14" s="1"/>
  <c r="B17" i="14"/>
  <c r="D43" i="11"/>
  <c r="E14" i="2"/>
  <c r="D39" i="11" s="1"/>
  <c r="D35" i="11"/>
  <c r="E19" i="2"/>
  <c r="D44" i="11" s="1"/>
  <c r="D45" i="11"/>
  <c r="B7" i="11"/>
  <c r="D7" i="11"/>
  <c r="B347" i="3"/>
  <c r="B277" i="3" s="1"/>
  <c r="C277" i="3" s="1"/>
  <c r="F5" i="14" s="1"/>
</calcChain>
</file>

<file path=xl/sharedStrings.xml><?xml version="1.0" encoding="utf-8"?>
<sst xmlns="http://schemas.openxmlformats.org/spreadsheetml/2006/main" count="833" uniqueCount="554">
  <si>
    <t>Produktionsinriktning</t>
  </si>
  <si>
    <t>Gårdens totala klimatavtryck</t>
  </si>
  <si>
    <t>ton CO2e</t>
  </si>
  <si>
    <t>Klimatavtryck per kg mjölk</t>
  </si>
  <si>
    <t>CO2e/kg</t>
  </si>
  <si>
    <t>Andel BAT-gödsel</t>
  </si>
  <si>
    <t>%</t>
  </si>
  <si>
    <t>Energianvändning per kg produkt</t>
  </si>
  <si>
    <t>Andel förnybart drivmedel</t>
  </si>
  <si>
    <t>Producerar du förnybar energi t.ex. med sol, vind eller biogas?</t>
  </si>
  <si>
    <t>Enbart växtodling</t>
  </si>
  <si>
    <t>Mjölk</t>
  </si>
  <si>
    <t>Dikor</t>
  </si>
  <si>
    <t>Nötkött, mjölkras</t>
  </si>
  <si>
    <t>Nötkött, köttras</t>
  </si>
  <si>
    <t>Slaktgris</t>
  </si>
  <si>
    <t>Smågris</t>
  </si>
  <si>
    <t>Annan</t>
  </si>
  <si>
    <t>Klimatavtryck per kg  produkt</t>
  </si>
  <si>
    <t>Nedre gräns</t>
  </si>
  <si>
    <t>Övre gräns</t>
  </si>
  <si>
    <t>Alla</t>
  </si>
  <si>
    <t>Biologisk mångfald</t>
  </si>
  <si>
    <t>Växtskydd</t>
  </si>
  <si>
    <t>Ja</t>
  </si>
  <si>
    <t>Nej</t>
  </si>
  <si>
    <t>Inte aktuellt</t>
  </si>
  <si>
    <r>
      <t xml:space="preserve">Jag har en strategi för min jordbearbetning och etablering för att motverka ogräs och sjukdomar </t>
    </r>
    <r>
      <rPr>
        <i/>
        <sz val="10"/>
        <color theme="1"/>
        <rFont val="Arial"/>
        <family val="2"/>
        <scheme val="minor"/>
      </rPr>
      <t>(1= Jag har en enkel strategi som jag håller mig till, 5= Jag har olika strategier i olika grödor)</t>
    </r>
  </si>
  <si>
    <r>
      <t xml:space="preserve">Jag tar hänsyn till sorternas motståndskraft mot skadegörare och hur de konkurrerar mot ogräs </t>
    </r>
    <r>
      <rPr>
        <i/>
        <sz val="10"/>
        <color theme="1"/>
        <rFont val="Arial"/>
        <family val="2"/>
        <scheme val="minor"/>
      </rPr>
      <t>(1= sorternas skördepotential är viktigare, 5=mottaglighet och konkurrenskraft är viktigt)</t>
    </r>
  </si>
  <si>
    <r>
      <t xml:space="preserve">Jag lägger stor vikt vid kvalitén på utsädet </t>
    </r>
    <r>
      <rPr>
        <i/>
        <sz val="10"/>
        <color theme="1"/>
        <rFont val="Arial"/>
        <family val="2"/>
        <scheme val="minor"/>
      </rPr>
      <t>(1= tar eget utan analys, 5= köper oftast certifierat utsäde)</t>
    </r>
  </si>
  <si>
    <t>Bevaka</t>
  </si>
  <si>
    <t>Behovsanpassa</t>
  </si>
  <si>
    <r>
      <t xml:space="preserve">Jag inspekterar mina fält under säsongen för att kolla av hur svampsjukdomar och skadeinsekter utvecklas </t>
    </r>
    <r>
      <rPr>
        <i/>
        <sz val="10"/>
        <color theme="1"/>
        <rFont val="Arial"/>
        <family val="2"/>
        <scheme val="minor"/>
      </rPr>
      <t>(1= sällan, 5= ofta)</t>
    </r>
  </si>
  <si>
    <r>
      <t xml:space="preserve">Jag är med på fältvandringar, läser växtskyddsbrev och veckorapporter från rådgivning </t>
    </r>
    <r>
      <rPr>
        <i/>
        <sz val="10"/>
        <color theme="1"/>
        <rFont val="Arial"/>
        <family val="2"/>
        <scheme val="minor"/>
      </rPr>
      <t>(1= nej, 5= ofta)</t>
    </r>
  </si>
  <si>
    <r>
      <t xml:space="preserve">Jag ser möjligheter att punktbehandla eller använda precisionsstyrd bekämpning av skadegörare och ogräs </t>
    </r>
    <r>
      <rPr>
        <i/>
        <sz val="10"/>
        <color theme="1"/>
        <rFont val="Arial"/>
        <family val="2"/>
        <scheme val="minor"/>
      </rPr>
      <t>(1= sällan, 5= ofta)</t>
    </r>
  </si>
  <si>
    <r>
      <t>Jag tänker på risken att det utvecklas resistens när jag väljer åtgärd/växtskyddsmedel och dos</t>
    </r>
    <r>
      <rPr>
        <i/>
        <sz val="10"/>
        <color theme="1"/>
        <rFont val="Arial"/>
        <family val="2"/>
        <scheme val="minor"/>
      </rPr>
      <t xml:space="preserve"> (1= nej, 5= ja) </t>
    </r>
  </si>
  <si>
    <t xml:space="preserve">Hur följer du upp dina bekämpningsåtgärder? </t>
  </si>
  <si>
    <t>Tillämpar då vårbearbetning?</t>
  </si>
  <si>
    <t>Kväveutlakning, kg/ha</t>
  </si>
  <si>
    <t>Delvis</t>
  </si>
  <si>
    <t>Slå vallen inifrån och ut</t>
  </si>
  <si>
    <t>Klimat</t>
  </si>
  <si>
    <t>Energi</t>
  </si>
  <si>
    <t>Max</t>
  </si>
  <si>
    <t>Areal höstvete som årligen precisionsgödslas med kväve, ha</t>
  </si>
  <si>
    <t>Rekommenderad fosforbalans för olika växtföljder med ett långsiktigt perspektiv</t>
  </si>
  <si>
    <t>I</t>
  </si>
  <si>
    <t>II</t>
  </si>
  <si>
    <t>III</t>
  </si>
  <si>
    <t>IVA</t>
  </si>
  <si>
    <t>IVB</t>
  </si>
  <si>
    <t>V</t>
  </si>
  <si>
    <t>Spannmål, oljeväxter</t>
  </si>
  <si>
    <t>Fosforklasser</t>
  </si>
  <si>
    <t>Rad</t>
  </si>
  <si>
    <t>Gräns fosfor</t>
  </si>
  <si>
    <t>Nötkött</t>
  </si>
  <si>
    <t>Gris</t>
  </si>
  <si>
    <t>Intercept</t>
  </si>
  <si>
    <t>Lutning</t>
  </si>
  <si>
    <t>Kvävebalans</t>
  </si>
  <si>
    <t>Medel</t>
  </si>
  <si>
    <t>Odla blommande kantzoner</t>
  </si>
  <si>
    <t>Odla blommande grödor</t>
  </si>
  <si>
    <t>Slå vägkanterna efter blomning</t>
  </si>
  <si>
    <t>Blommande fältbrunnar</t>
  </si>
  <si>
    <t>Odla blommor i trädgården</t>
  </si>
  <si>
    <t>Anlägg en sandbädd</t>
  </si>
  <si>
    <t>Placera ut halmbalar</t>
  </si>
  <si>
    <t>Direktsådd</t>
  </si>
  <si>
    <t>Vårplöj</t>
  </si>
  <si>
    <t>Så fånggrödor/mellangrödor</t>
  </si>
  <si>
    <t>Gör lärkrutor</t>
  </si>
  <si>
    <t>Odla fågelåker</t>
  </si>
  <si>
    <t>Mata fåglar</t>
  </si>
  <si>
    <t>Flytta fågelbon</t>
  </si>
  <si>
    <t>Spara träd och buskar</t>
  </si>
  <si>
    <t>Sätt upp fågelholkar</t>
  </si>
  <si>
    <t>Sätt upp bibatterier</t>
  </si>
  <si>
    <t>Behåll tegeltak och vasstak</t>
  </si>
  <si>
    <t>Anlägg sprutfria kantzoner</t>
  </si>
  <si>
    <t>Lämna en bit oskördad gröda</t>
  </si>
  <si>
    <t>Odla viltåker</t>
  </si>
  <si>
    <t>Spara en del av vallen vid skörd</t>
  </si>
  <si>
    <t>Plantera buskrader/lähäckar</t>
  </si>
  <si>
    <t>Anlägg skyddszoner intill diken</t>
  </si>
  <si>
    <t>Gynna bryn</t>
  </si>
  <si>
    <t>Vårda gårdens rikaste miljöer</t>
  </si>
  <si>
    <t>Underhåll diken för biologisk mångfald</t>
  </si>
  <si>
    <t>Sköt småbiotoper</t>
  </si>
  <si>
    <t>Spara ostädade hörn</t>
  </si>
  <si>
    <t>Anlägg en våtmark</t>
  </si>
  <si>
    <t>Pollinerande insekter</t>
  </si>
  <si>
    <t>Nyttodjur</t>
  </si>
  <si>
    <t>Fåglar</t>
  </si>
  <si>
    <t>Fältvilt</t>
  </si>
  <si>
    <t>Anlägg en skalbaggsås</t>
  </si>
  <si>
    <t>akt</t>
  </si>
  <si>
    <t>Svar</t>
  </si>
  <si>
    <t>Gårdens poäng</t>
  </si>
  <si>
    <t>Gårdens procent</t>
  </si>
  <si>
    <t>Gårdens resultat</t>
  </si>
  <si>
    <t>beskrivs alla åtgärder, tipsa gärna om att läsa den!</t>
  </si>
  <si>
    <t>I den här broschyren "Gynna mångfalden i åkerlandskapet"</t>
  </si>
  <si>
    <t>Vilka åtgärder gör du på gården?</t>
  </si>
  <si>
    <t>Vilken fosforklass har gårdens jordar i medeltal?</t>
  </si>
  <si>
    <t>Här finns tabeller som bland annat ligger till grund för klassgränser. Fliken kommer troligen döljas</t>
  </si>
  <si>
    <t>Har du anlagt skyddszoner längs diken eller vattendrag alternativt anpassade skyddszoner?</t>
  </si>
  <si>
    <t>Välkommen till Hållbarhetsanalysen!</t>
  </si>
  <si>
    <t>Övergödning</t>
  </si>
  <si>
    <t>Har du anlagt en damm eller våtmark?</t>
  </si>
  <si>
    <t>Frågor om stallmiljö</t>
  </si>
  <si>
    <t>Frågor om lagring</t>
  </si>
  <si>
    <t>Frågor om spridning</t>
  </si>
  <si>
    <t>Jag läser årssammanställningar från försök och rådgivning</t>
  </si>
  <si>
    <t>Förebygga</t>
  </si>
  <si>
    <t>Ange gårdens två största grödor</t>
  </si>
  <si>
    <t>Klimatavtryck grödor</t>
  </si>
  <si>
    <t>Gränsprocent</t>
  </si>
  <si>
    <t>Snitt</t>
  </si>
  <si>
    <t>Poäng</t>
  </si>
  <si>
    <t>Procent</t>
  </si>
  <si>
    <t>Hantera</t>
  </si>
  <si>
    <t>Följa upp</t>
  </si>
  <si>
    <t>Gränser växtskydd</t>
  </si>
  <si>
    <t>Totalt</t>
  </si>
  <si>
    <t>Sojaanvändning</t>
  </si>
  <si>
    <t>Soja</t>
  </si>
  <si>
    <t>Använder soja</t>
  </si>
  <si>
    <t>Använder bara 100 % avskogningsfri soja</t>
  </si>
  <si>
    <t>Använder inte soja</t>
  </si>
  <si>
    <t>Jag markerar på en karta var jag har olika problem</t>
  </si>
  <si>
    <t>Indikator</t>
  </si>
  <si>
    <t>Överskott av N i gårdsbalans, kg/ha</t>
  </si>
  <si>
    <t>Överskott av P i gårdsbalans, kg/ha</t>
  </si>
  <si>
    <t>Ammoniakavgång, kg/ha</t>
  </si>
  <si>
    <t>Andel precisionsgödslad höstveteareal, %</t>
  </si>
  <si>
    <t>Övriga åtgärder, %</t>
  </si>
  <si>
    <t>Utförda åtgärder, %</t>
  </si>
  <si>
    <t xml:space="preserve"> -  Förebygga</t>
  </si>
  <si>
    <t xml:space="preserve"> -  Hantera</t>
  </si>
  <si>
    <t xml:space="preserve"> -  Bevaka</t>
  </si>
  <si>
    <t xml:space="preserve"> -  Behovsanpassa</t>
  </si>
  <si>
    <t xml:space="preserve"> -  Följa upp</t>
  </si>
  <si>
    <t xml:space="preserve"> -  Pollinerande insekter</t>
  </si>
  <si>
    <t xml:space="preserve"> -  Nyttodjur</t>
  </si>
  <si>
    <t xml:space="preserve"> -  Fåglar</t>
  </si>
  <si>
    <t xml:space="preserve"> -  Fältvilt</t>
  </si>
  <si>
    <t>Gårdens totala klimatavtryck, tonCO2e</t>
  </si>
  <si>
    <t>Klimatavtryck per kg, CO2e/kg</t>
  </si>
  <si>
    <t xml:space="preserve"> -  Mjölk</t>
  </si>
  <si>
    <t xml:space="preserve"> -  Levande vikt</t>
  </si>
  <si>
    <t>Andel förnybart drivmedel, %</t>
  </si>
  <si>
    <t>Producerar förnybar energi, kWh</t>
  </si>
  <si>
    <t>Gårdens
 värde</t>
  </si>
  <si>
    <t>Jämförelse
värde</t>
  </si>
  <si>
    <t>Jmf</t>
  </si>
  <si>
    <t>16-40</t>
  </si>
  <si>
    <t>0-30</t>
  </si>
  <si>
    <t>20-40</t>
  </si>
  <si>
    <t xml:space="preserve">Har du en bestämning av jordarten på dina jordar? </t>
  </si>
  <si>
    <t>Har du markkarterat matjorden senaste 10 åren?</t>
  </si>
  <si>
    <t>Mer än 75 % av åkerarealen</t>
  </si>
  <si>
    <t>Mindre än 25 % av åkerarealen</t>
  </si>
  <si>
    <t>På 25-75 %, av åkerarealen</t>
  </si>
  <si>
    <t>Eko Enbart växtodling</t>
  </si>
  <si>
    <t>Eko Mjölk</t>
  </si>
  <si>
    <t>Eko Dikor</t>
  </si>
  <si>
    <t>Eko Nötkött, mjölkras</t>
  </si>
  <si>
    <t>Eko Nötkött, köttras</t>
  </si>
  <si>
    <t>Eko Slaktgris</t>
  </si>
  <si>
    <t>Eko Smågris</t>
  </si>
  <si>
    <t>Välj gårdens huvudsakliga produktionsinriktningen</t>
  </si>
  <si>
    <t>Proteineffektivitet</t>
  </si>
  <si>
    <t>Jämförelse</t>
  </si>
  <si>
    <t>Rek värde</t>
  </si>
  <si>
    <t>Ammoniakförluster</t>
  </si>
  <si>
    <t>Frågor om foder och bete</t>
  </si>
  <si>
    <t>Vilket av dessa påstående stämmer bäst in på dig och din gård när det gäller djurens utfodringsstrategi ett normalår?</t>
  </si>
  <si>
    <t>Proteinhalt i foder, anpassning till djurgrupp</t>
  </si>
  <si>
    <t>Foderspill vid utfodring</t>
  </si>
  <si>
    <t>Uppfödningstider</t>
  </si>
  <si>
    <t>Vilket av dessa påstående stämmer bäst in på dig och din gård när det gäller djurstallarna ett normalår?</t>
  </si>
  <si>
    <t>Gödselbemängda ytor</t>
  </si>
  <si>
    <t>Stalltemperatur, luftrörelser</t>
  </si>
  <si>
    <t>hög stalltemp, stora luftrörelser över gödselyta</t>
  </si>
  <si>
    <t>Strömängd, liggplats</t>
  </si>
  <si>
    <t>Vilket av dessa påstående stämmer bäst in på dig och din gård när det gäller gödsellagringen ett normalår?</t>
  </si>
  <si>
    <t>Täckning av gödselbehållare</t>
  </si>
  <si>
    <t>Lagringbehållare solljus o värme</t>
  </si>
  <si>
    <t>Snabb lastning, tömning</t>
  </si>
  <si>
    <t>Vilket av dessa påstående stämmer bäst in på dig och din gård när det gäller spridning av stallgödsel ett normalår?</t>
  </si>
  <si>
    <t>Nedbrukning</t>
  </si>
  <si>
    <t>Väder vid spridning i växande gröda</t>
  </si>
  <si>
    <t>Jordkontakt, infiltration</t>
  </si>
  <si>
    <t>Ammoniakförluster, kg/ha</t>
  </si>
  <si>
    <t>Djurtäthet</t>
  </si>
  <si>
    <t>Foderfråga 1</t>
  </si>
  <si>
    <t>Foderfråga2</t>
  </si>
  <si>
    <t>Foderfråga3</t>
  </si>
  <si>
    <t>Stallmiljöfråga1</t>
  </si>
  <si>
    <t>Stallmiljöfråga2</t>
  </si>
  <si>
    <t>Stallmiljöfråga3</t>
  </si>
  <si>
    <t>Lagringsfråga1</t>
  </si>
  <si>
    <t>Lagringsfråga2</t>
  </si>
  <si>
    <t>Lagringsfråga3</t>
  </si>
  <si>
    <t>Spridningsfråga1</t>
  </si>
  <si>
    <t>bredspridning, gödsel kvar på markytan</t>
  </si>
  <si>
    <t>Spridningsfråga2</t>
  </si>
  <si>
    <t>normala väderförhållanden vid spridning</t>
  </si>
  <si>
    <t>Spridningsfråga3</t>
  </si>
  <si>
    <t>Viktning</t>
  </si>
  <si>
    <t>Foder</t>
  </si>
  <si>
    <t>Stall</t>
  </si>
  <si>
    <t>Lager</t>
  </si>
  <si>
    <t>Spridning</t>
  </si>
  <si>
    <t>Ammoniakförlustjustering</t>
  </si>
  <si>
    <t>Släck första</t>
  </si>
  <si>
    <t>Om gården har djur eller sprider stallgödsel</t>
  </si>
  <si>
    <t>Gårdens värde</t>
  </si>
  <si>
    <t>Gränser ammoniak</t>
  </si>
  <si>
    <t>Högsta värde</t>
  </si>
  <si>
    <t>Lägsta värde</t>
  </si>
  <si>
    <t>Klicka här!</t>
  </si>
  <si>
    <t>Röd</t>
  </si>
  <si>
    <t>Gul</t>
  </si>
  <si>
    <t>Grön</t>
  </si>
  <si>
    <t>Värde</t>
  </si>
  <si>
    <t>Släck 9 första</t>
  </si>
  <si>
    <t>Damm/våtmark</t>
  </si>
  <si>
    <t>Skyddszoner</t>
  </si>
  <si>
    <t>Mellangröda fånggröda</t>
  </si>
  <si>
    <t>Vårbearbetning</t>
  </si>
  <si>
    <t>Lägre gräns</t>
  </si>
  <si>
    <t>Släck alla djur</t>
  </si>
  <si>
    <t>Släck mjölk</t>
  </si>
  <si>
    <t>Jäm
förelse</t>
  </si>
  <si>
    <t>4,3-5</t>
  </si>
  <si>
    <t>Släck kött</t>
  </si>
  <si>
    <t>Grundvärde (beroende på djurtäthet)</t>
  </si>
  <si>
    <t>Obesvarade</t>
  </si>
  <si>
    <t>Andel förnybar el</t>
  </si>
  <si>
    <t>Tillbaka till Övergödning</t>
  </si>
  <si>
    <t>Till Introduktion</t>
  </si>
  <si>
    <t>Till Växtskydd</t>
  </si>
  <si>
    <t>Till Biologisk mångfald</t>
  </si>
  <si>
    <t>Till Klimat och Energi</t>
  </si>
  <si>
    <t>Resultattabell</t>
  </si>
  <si>
    <t>Till Resultattabell</t>
  </si>
  <si>
    <t>Kväveeffektivitet i utfodringen, %</t>
  </si>
  <si>
    <t>Kväveeffektivitet i utfodring</t>
  </si>
  <si>
    <t>Markhälsa</t>
  </si>
  <si>
    <t>Manuell slåtter</t>
  </si>
  <si>
    <t>Särskild höhantering</t>
  </si>
  <si>
    <t>Skötsel av småvatten i betesmarker</t>
  </si>
  <si>
    <t>Naturvårdsbränning</t>
  </si>
  <si>
    <t>Naturbetesmarker</t>
  </si>
  <si>
    <t>Antal Ja</t>
  </si>
  <si>
    <t>Antal Nej</t>
  </si>
  <si>
    <t>Andel</t>
  </si>
  <si>
    <t>lägre än medel, anpassad till djurgrupp, tar foderanalyser årligen</t>
  </si>
  <si>
    <t>medelproteinhalt i foderstaten, foderanalys tas då och då</t>
  </si>
  <si>
    <t>medel uppfödningstid, normal avkastningsnivå</t>
  </si>
  <si>
    <t>stall som är standardutformat, normalt utgödslingsintervall</t>
  </si>
  <si>
    <t>låg stalltemperatur (ej smågrisplatser), kyld gödsel, djup kulvert</t>
  </si>
  <si>
    <t>temperatur och ventilation enligt normal standard</t>
  </si>
  <si>
    <t>torr yta inklusive mycket strö i ströbädd, torv används helt eller delvis</t>
  </si>
  <si>
    <t>normal strömängd av halm eller spån</t>
  </si>
  <si>
    <t>lite strö, gödsel på liggyta</t>
  </si>
  <si>
    <t>Utdragen omrörning, tömning under lång tid</t>
  </si>
  <si>
    <t>tätt tak eller flytande täckning</t>
  </si>
  <si>
    <t>svämtäcke återbildas inom normal tid</t>
  </si>
  <si>
    <t>spridning vid svalt, mulet och vindstilla väder, eller före regn</t>
  </si>
  <si>
    <t>spridning vid varmt, soligt och blåsigt väder</t>
  </si>
  <si>
    <t>Kväveeffektivitet</t>
  </si>
  <si>
    <t>inga foderanalyser eller gruppanpassning, högre proteinhalt än medel</t>
  </si>
  <si>
    <t>foderbord med kant, litet spill i kedjan från skörd till foderbord</t>
  </si>
  <si>
    <t>Visst spill från foderbord, automat, och i kedjan från skörd till foderbord</t>
  </si>
  <si>
    <t>betydande förluster vid utfodring, skörd och/eller lagring</t>
  </si>
  <si>
    <t>kort uppfödningstid, bra djurhälsa och fruktsamhet, många avvanda grisar/kull</t>
  </si>
  <si>
    <t>låg avkastning, lång uppfödningstid, hög rekryteringsprocent, hög smågrisdödlighet</t>
  </si>
  <si>
    <t>små ytor som är gödselbemängda, frekvent utgödsling, effektiv urindränering</t>
  </si>
  <si>
    <t>stora ytor är gödselbemängda, långt intervall utgödsling , bristfällig urindränering</t>
  </si>
  <si>
    <t>myllning eller snabb nedbrukning inom 1 till 4 tim</t>
  </si>
  <si>
    <t>spridning med god jordkontakt (t ex släpfotsramp), snabb infiltration</t>
  </si>
  <si>
    <t>normala förhållanden för jordkontakt</t>
  </si>
  <si>
    <t>gödsel blir liggande på ytan, fastgödsel ojämnt spridd</t>
  </si>
  <si>
    <t>medelsnabb tömning</t>
  </si>
  <si>
    <t>kort tid för tömning av behållare och fastgödsellager, och för omrörning flytgödsel</t>
  </si>
  <si>
    <t>grund behållare med stor yta t ex lagun, gödselbehållare  i soligt läge</t>
  </si>
  <si>
    <t>normalt behållardjup och placering</t>
  </si>
  <si>
    <t>djup brunn liten yta, gödselbehållare  i skuggit läge</t>
  </si>
  <si>
    <t>svämtäcke saknas eller är ofullständigt, ingen annan täckning</t>
  </si>
  <si>
    <r>
      <t xml:space="preserve">Jag väljer en varierad växtföljd och håller mig till rekommenderade intervall mellan känsliga grödor för att förebygga ogräs och skadegörare. </t>
    </r>
    <r>
      <rPr>
        <i/>
        <sz val="10"/>
        <color theme="1"/>
        <rFont val="Arial"/>
        <family val="2"/>
        <scheme val="minor"/>
      </rPr>
      <t>(1= lite, 5= mycket)</t>
    </r>
  </si>
  <si>
    <r>
      <t>Jag använder i första hand förebyggande åtgärder för att undvika liggsäd.</t>
    </r>
    <r>
      <rPr>
        <i/>
        <sz val="10"/>
        <color theme="1"/>
        <rFont val="Arial"/>
        <family val="2"/>
        <scheme val="minor"/>
      </rPr>
      <t xml:space="preserve"> (1=instämmer inte alls, 5=instämmer helt)</t>
    </r>
  </si>
  <si>
    <t>Jag lämnar obehandlade kontrollrutor där det är lämpligt som Jag följer utvecklingen i</t>
  </si>
  <si>
    <t xml:space="preserve">Jag antecknar hur bekämpningarna utfallit </t>
  </si>
  <si>
    <r>
      <t xml:space="preserve">Jag och/eller min rådgivare följer vilka ogräsarter som förekommer, och i vilka mängder, på markerna </t>
    </r>
    <r>
      <rPr>
        <i/>
        <sz val="10"/>
        <color theme="1"/>
        <rFont val="Arial"/>
        <family val="2"/>
        <scheme val="minor"/>
      </rPr>
      <t xml:space="preserve">(1= sällan, 5= ofta) </t>
    </r>
  </si>
  <si>
    <r>
      <t xml:space="preserve">Jag använder icke-kemiska bekämpningsmetoder?  </t>
    </r>
    <r>
      <rPr>
        <i/>
        <sz val="10"/>
        <color theme="1"/>
        <rFont val="Arial"/>
        <family val="2"/>
        <scheme val="minor"/>
      </rPr>
      <t xml:space="preserve">(1= inga, 5= flera) </t>
    </r>
  </si>
  <si>
    <r>
      <t xml:space="preserve">Jag behovsanpassar alltid mina bekämpningsåtgärder efter bekämpningströsklar och andra hjälpmedel, t ex Kemisk ogräsbekämpning, Bekämpningsrekommendationer, dosnyckeln (ogräs) och prognosmodeller </t>
    </r>
    <r>
      <rPr>
        <i/>
        <sz val="10"/>
        <color theme="1"/>
        <rFont val="Arial"/>
        <family val="2"/>
        <scheme val="minor"/>
      </rPr>
      <t>(1=instämmer inte alls, 5=instämmer helt)</t>
    </r>
  </si>
  <si>
    <t>Övriga växtnäringssåtgärder</t>
  </si>
  <si>
    <t>Markhälsafrågor</t>
  </si>
  <si>
    <t>I fält</t>
  </si>
  <si>
    <t>Annan biologisk aktiv mark</t>
  </si>
  <si>
    <t>Gårdsplan</t>
  </si>
  <si>
    <t>Biobädd</t>
  </si>
  <si>
    <t>Platta (hårdgjordyta) med uppsamling</t>
  </si>
  <si>
    <t>Gödselplatta utan uppsamlingstank</t>
  </si>
  <si>
    <t>Gödselplatta med uppsamlingstank</t>
  </si>
  <si>
    <t>Annat</t>
  </si>
  <si>
    <t>Platta (hårdgjordyta) utan uppsamling</t>
  </si>
  <si>
    <t>Vilken skyddsutrustning används vid tillredning av sprutvätskan?</t>
  </si>
  <si>
    <t>Vid påfyllning och rengöring av sprutan används följande:</t>
  </si>
  <si>
    <t>Hur bestämmer du i fält det anpassade skyddsavstånd du ska hålla?</t>
  </si>
  <si>
    <t>Vid applicering av växtskyddsmedel används följande munstycke:</t>
  </si>
  <si>
    <t>Den spruta/sprutor som ditt företag använder var fylls den/de på?</t>
  </si>
  <si>
    <t>Fråga 1</t>
  </si>
  <si>
    <t>Fråga 2</t>
  </si>
  <si>
    <t>Fråga 4</t>
  </si>
  <si>
    <t>Min</t>
  </si>
  <si>
    <t>Inte ifyllt</t>
  </si>
  <si>
    <t>Skötsel av kulturlämningar</t>
  </si>
  <si>
    <t>Mer än 75 % av aktuell areal</t>
  </si>
  <si>
    <t>På 25-75 %, av aktuell areal</t>
  </si>
  <si>
    <t>Mindre än 25 % av aktuell areal</t>
  </si>
  <si>
    <t xml:space="preserve">Underhållskalkar du en gång i växtföljden? </t>
  </si>
  <si>
    <t>Har du gjort översyn och, vid behov, utfört underhåll av dina öppna och rörlagda diken/täckdiken senaste tio åren?</t>
  </si>
  <si>
    <t>Inspekterar du dina dräneringsbrunnar regelbundet?</t>
  </si>
  <si>
    <t>På hur stor andel av din areal odlar du vall, fånggröda eller mellangröda (av annan art än stråsäd) på, ett genomsnittligt år?</t>
  </si>
  <si>
    <t>Justerar du ringtryck beroende på fältförhållanden och arbetsmoment?</t>
  </si>
  <si>
    <t>Använder du dubbelmontage, breda däck, lågtrycksdäck eller band?</t>
  </si>
  <si>
    <t>""</t>
  </si>
  <si>
    <t>Utförda åtgärder,%</t>
  </si>
  <si>
    <t>Markbördighet</t>
  </si>
  <si>
    <t>Växtskydd Hantera</t>
  </si>
  <si>
    <t>Växtskydd Bevaka</t>
  </si>
  <si>
    <t>Växtskydd Förebygga</t>
  </si>
  <si>
    <t>Växtskydd Behovsanpassa</t>
  </si>
  <si>
    <t>Växtskydd Följa upp</t>
  </si>
  <si>
    <t>Ring1</t>
  </si>
  <si>
    <t>ring2</t>
  </si>
  <si>
    <t>ring3</t>
  </si>
  <si>
    <t>Max N</t>
  </si>
  <si>
    <t>Min N</t>
  </si>
  <si>
    <t>Spann</t>
  </si>
  <si>
    <t>Överskott av N</t>
  </si>
  <si>
    <t>Justerat</t>
  </si>
  <si>
    <t>Max värde = 0</t>
  </si>
  <si>
    <t>Min värde = 100</t>
  </si>
  <si>
    <t>Precisionsodling</t>
  </si>
  <si>
    <t>grön</t>
  </si>
  <si>
    <t>Biologisk Mångfald</t>
  </si>
  <si>
    <t xml:space="preserve"> -  Bete</t>
  </si>
  <si>
    <t>Klimatavtryck per kg produkt</t>
  </si>
  <si>
    <t>Min CO2</t>
  </si>
  <si>
    <t>Max CO2</t>
  </si>
  <si>
    <t>Växtskydd hanteringsfråga 1</t>
  </si>
  <si>
    <t>Andel förnybar el; %</t>
  </si>
  <si>
    <t>Justpoäng</t>
  </si>
  <si>
    <t>I vilket län ligger gården?</t>
  </si>
  <si>
    <t>Vilken jordart har de flesta fälten?</t>
  </si>
  <si>
    <t>Län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</si>
  <si>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</si>
  <si>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</si>
  <si>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</si>
  <si>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</si>
  <si>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</si>
  <si>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</si>
  <si>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</si>
  <si>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</si>
  <si>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</si>
  <si>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</si>
  <si>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</si>
  <si>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</si>
  <si>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Sörmland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</si>
  <si>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</si>
  <si>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</si>
  <si>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</si>
  <si>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</si>
  <si>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</si>
  <si>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</si>
  <si>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</si>
  <si>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</si>
  <si>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Grupp</t>
  </si>
  <si>
    <t>Jordart</t>
  </si>
  <si>
    <t>styv lera  40 % ler</t>
  </si>
  <si>
    <t>lättlera, mellanlera, 15-40 % lerhalt</t>
  </si>
  <si>
    <t>sandjord, lerig jord &lt; 15 % ler, mulljord</t>
  </si>
  <si>
    <t>Länsgrupp 1</t>
  </si>
  <si>
    <t>Länsgrupp 2</t>
  </si>
  <si>
    <t>Länsgrupp 3</t>
  </si>
  <si>
    <t>Grundvärde</t>
  </si>
  <si>
    <t>Länsgrupp</t>
  </si>
  <si>
    <t>Utlakning</t>
  </si>
  <si>
    <t>Utlakning, kg/ha</t>
  </si>
  <si>
    <t>Vilket av dessa påstående stämmer bäst in på din gård ?</t>
  </si>
  <si>
    <t>Gödslingsintensitet kväve</t>
  </si>
  <si>
    <t>Höstgödsling</t>
  </si>
  <si>
    <t>Höstväxande gröda fånggröda,vall</t>
  </si>
  <si>
    <t>Efterverkan stallgödsel</t>
  </si>
  <si>
    <t>Efterverkan gröda</t>
  </si>
  <si>
    <t>Odlingspraxis fråga 2 (gödslingsintensitet kväve)</t>
  </si>
  <si>
    <t>liggande vall &gt; 50 % av arealen</t>
  </si>
  <si>
    <t>vårkorn, havre, råg &gt;50% av arealen</t>
  </si>
  <si>
    <t>gul</t>
  </si>
  <si>
    <t>röd</t>
  </si>
  <si>
    <t>Odlingspraxis fråga 3 (höstgödsling)</t>
  </si>
  <si>
    <t>ingen höstgödsling</t>
  </si>
  <si>
    <t>mineralgödsel på hösten till vissa grödor</t>
  </si>
  <si>
    <t>stallgödsel på hösten till vissa grödor</t>
  </si>
  <si>
    <t>Odlingspraxis fråga 4 (höstväxande gröda fånggröda,vall)</t>
  </si>
  <si>
    <t>vall, fånggröda &gt; 50 % av arealen</t>
  </si>
  <si>
    <t>sådd av höstsäd, höstraps,  stubb fram till 10-20 oktober &gt;50 % av arealen</t>
  </si>
  <si>
    <t>ingen växande gröda, tidigt vallbrott &gt; 50 % av arealen</t>
  </si>
  <si>
    <t>Odlingspraxis fråga 5 (efterverkan stallgödsel)</t>
  </si>
  <si>
    <t>ingen stallgödsel tillförs till gårdens fält</t>
  </si>
  <si>
    <t>stallgödsel från 0,3-0,8 djurenheter som sprids på gårdens fält</t>
  </si>
  <si>
    <t>stallgödsel från &gt; 0,8 djurenheter på gården som sprids på gårdens fält</t>
  </si>
  <si>
    <t>Odlingspraxis fråga 6 (efterverkan grödal)</t>
  </si>
  <si>
    <t xml:space="preserve">enbart stråsäd och liggande vall </t>
  </si>
  <si>
    <t>raps, ärt, åkerb. potatis, majs, snabbv. grönsaker, gröngödsling, vallbrott &gt;50 % av areal</t>
  </si>
  <si>
    <t>Odlingspraxis fråga 1 (bearbetning)</t>
  </si>
  <si>
    <t>vårbearbetning 1 mars-31 maj, ingen bearbetning (vall, träda) &gt; 50 % av arealen</t>
  </si>
  <si>
    <t>medel- sen höstbearbetning 10 september- 31 december &gt; 50 % av arealen</t>
  </si>
  <si>
    <t>mycket tidig -tidig bearbetning, före 10 september på &gt;50 % av arealen</t>
  </si>
  <si>
    <t>Faktor</t>
  </si>
  <si>
    <t>Justering</t>
  </si>
  <si>
    <t>Gräns grön</t>
  </si>
  <si>
    <t>Gräns röd</t>
  </si>
  <si>
    <t>Till Markhälsa</t>
  </si>
  <si>
    <t>Spannmål, vall, åkerböna, ärter</t>
  </si>
  <si>
    <t>Sockerbetor/potatis i växtföljden</t>
  </si>
  <si>
    <t>Fodermajs odlas i växtföljden</t>
  </si>
  <si>
    <t>Frågor om utlakning</t>
  </si>
  <si>
    <t>vete, rågvete, höstkorn, höstraps, potatis, majs &gt;50 % av arealen</t>
  </si>
  <si>
    <r>
      <t xml:space="preserve"> Jag behovsanpassar mina gödselgivor efter markkarta, sort och årsmån i min växtskyddsstrategi</t>
    </r>
    <r>
      <rPr>
        <i/>
        <sz val="10"/>
        <color theme="1"/>
        <rFont val="Arial"/>
        <family val="2"/>
        <scheme val="minor"/>
      </rPr>
      <t xml:space="preserve"> (1=instämmer inte alls, 5=instämmer helt)</t>
    </r>
  </si>
  <si>
    <t>Veravärde</t>
  </si>
  <si>
    <t>Enkelt värde</t>
  </si>
  <si>
    <t>Använt värde</t>
  </si>
  <si>
    <t>Bearbetning</t>
  </si>
  <si>
    <t>Släck eko</t>
  </si>
  <si>
    <t>Eko</t>
  </si>
  <si>
    <t>'</t>
  </si>
  <si>
    <t>Fråga 3</t>
  </si>
  <si>
    <t>Fråga 5</t>
  </si>
  <si>
    <t>Fråga 6</t>
  </si>
  <si>
    <t>Fråga 7</t>
  </si>
  <si>
    <t>Fråga 8</t>
  </si>
  <si>
    <t>Fråga 9</t>
  </si>
  <si>
    <t>Fråga 10</t>
  </si>
  <si>
    <t>Fråga 11</t>
  </si>
  <si>
    <t>Fråga 12</t>
  </si>
  <si>
    <t>Antal Svar</t>
  </si>
  <si>
    <t>Gränser bördighet/Hantering Växtskydd</t>
  </si>
  <si>
    <t>Slaktutbyte</t>
  </si>
  <si>
    <t>Klimatavtryck per kg levande vikt (från Vera)</t>
  </si>
  <si>
    <t>Typ av vikt</t>
  </si>
  <si>
    <t>levande vikt</t>
  </si>
  <si>
    <t>slaktad vikt</t>
  </si>
  <si>
    <t>havre</t>
  </si>
  <si>
    <t>höstkorn</t>
  </si>
  <si>
    <t>höstvete</t>
  </si>
  <si>
    <t>korn</t>
  </si>
  <si>
    <t>råg</t>
  </si>
  <si>
    <t>rågvete</t>
  </si>
  <si>
    <t>ensilage, blandvall</t>
  </si>
  <si>
    <t>gräsensilage, vall</t>
  </si>
  <si>
    <t>helsädsensilage havre/ärt</t>
  </si>
  <si>
    <t>hö</t>
  </si>
  <si>
    <t>klövergräshö</t>
  </si>
  <si>
    <t>majsensilage</t>
  </si>
  <si>
    <t>potatis</t>
  </si>
  <si>
    <t>raps</t>
  </si>
  <si>
    <t>sockerbetor</t>
  </si>
  <si>
    <t>åkerböna/ärt</t>
  </si>
  <si>
    <t>3,0-3,5</t>
  </si>
  <si>
    <t>46-54</t>
  </si>
  <si>
    <t>15-20</t>
  </si>
  <si>
    <t>23-27</t>
  </si>
  <si>
    <t>Obesvarade frågor Åker</t>
  </si>
  <si>
    <t>Obesvarade frågor Bete</t>
  </si>
  <si>
    <t>stråsäd, liggande vall&gt; 50 % av arealen</t>
  </si>
  <si>
    <t>Bete</t>
  </si>
  <si>
    <t>Indikatorer i sex områden inom miljömässig hållbarhet</t>
  </si>
  <si>
    <t>Odlar blommande kantzoner</t>
  </si>
  <si>
    <t>Odlar blommande grödor</t>
  </si>
  <si>
    <t>Slår vägkanterna efter blomning</t>
  </si>
  <si>
    <t>Har blommande fältbrunnar</t>
  </si>
  <si>
    <t>Odlar blommor i trädgården</t>
  </si>
  <si>
    <t>Anlagt en sandbädd/Skapat sandiga miljöer</t>
  </si>
  <si>
    <t>Placerat ut halmbalar</t>
  </si>
  <si>
    <t>Satt upp bibatterier</t>
  </si>
  <si>
    <t>Anlagt en skalbaggsås</t>
  </si>
  <si>
    <t>Direktsår (ej reducerad bearbetning)</t>
  </si>
  <si>
    <t>Vårplöjer</t>
  </si>
  <si>
    <t>Sår fånggrödor/mellangrödor</t>
  </si>
  <si>
    <t>Gjort lärkrutor</t>
  </si>
  <si>
    <t>Odlar fågelåker</t>
  </si>
  <si>
    <t>Matar fåglar</t>
  </si>
  <si>
    <t>Flyttar fågelbon</t>
  </si>
  <si>
    <t>Sparar träd och buskar</t>
  </si>
  <si>
    <t>Satt upp fågelholkar</t>
  </si>
  <si>
    <t>Behållt tegeltak och vasstak</t>
  </si>
  <si>
    <t>Lämnar en bit oskördad gröda</t>
  </si>
  <si>
    <t>Anlägger sprutfria kantzoner</t>
  </si>
  <si>
    <t>Odlar viltåker</t>
  </si>
  <si>
    <t>Slår vallen inifrån och ut</t>
  </si>
  <si>
    <t>Sparar en del av vallen vid skörd</t>
  </si>
  <si>
    <t>Planterat buskrader/lähäckar</t>
  </si>
  <si>
    <t>Anlägger skyddszoner intill diken</t>
  </si>
  <si>
    <t>Gynnar bryn</t>
  </si>
  <si>
    <t>Vårdar gårdens rikaste miljöer</t>
  </si>
  <si>
    <t>Underhåller diken för biologisk mångfald</t>
  </si>
  <si>
    <t>Sköter småbiotoper</t>
  </si>
  <si>
    <t>Anlagt en våtmark</t>
  </si>
  <si>
    <t>Sparar ostädade hörn</t>
  </si>
  <si>
    <t>Hamlar träd</t>
  </si>
  <si>
    <t>Har betesfria år</t>
  </si>
  <si>
    <t xml:space="preserve">Har sent betespåsläpp </t>
  </si>
  <si>
    <t xml:space="preserve">Har aktiv betesdrift </t>
  </si>
  <si>
    <t>Efterbetar</t>
  </si>
  <si>
    <t>Friställt solitära träd</t>
  </si>
  <si>
    <t>Satt upp fladdermusholk</t>
  </si>
  <si>
    <t>Gjort åtgärder för att gynna steklar</t>
  </si>
  <si>
    <t xml:space="preserve">Restaurerat betesmark </t>
  </si>
  <si>
    <t>Har faunadepå</t>
  </si>
  <si>
    <t>Har mulmholk</t>
  </si>
  <si>
    <t>Naturbetesmark</t>
  </si>
  <si>
    <t>Tar du hänsyn till hur ofta odling av grödor och mellangrödor, som kan uppföröka ogräs och markbundna sjukdomar, bör odlas i växtföljden?</t>
  </si>
  <si>
    <t>Gårdens ungefärliga djurtäthet, de/ha åkermark, (Inga djur, ange siffran 0)</t>
  </si>
  <si>
    <t>Överskott av kväve (N) i växtnäringsbalansen (gårdsbalans), kg/ha</t>
  </si>
  <si>
    <t>Överskott eller underskott (-) av fosfor (P) i växtnäringsbalansen, kg/ha</t>
  </si>
  <si>
    <t>Kväveutlakning, kg N/ha från Vera</t>
  </si>
  <si>
    <t>Kväveutlakning, kg N/ha egen beräkning</t>
  </si>
  <si>
    <t>Välj de grödor som stämmer bäst för gården (underlag för fosforbehov)</t>
  </si>
  <si>
    <t>Har du mellangröda eller fånggröda? (inte aktuellt på vallgårdar)</t>
  </si>
  <si>
    <t>bandspridning (släpslang eller matarslang) eller nedbrukning inom 4 till 24 tim</t>
  </si>
  <si>
    <t>Om Ja ovan vilka åtgärder gör du på naturbetesmarkerna?</t>
  </si>
  <si>
    <t>Avmaskar inte på naturbetesmark</t>
  </si>
  <si>
    <t>"Poäng"</t>
  </si>
  <si>
    <t>Ja, men den betas inte</t>
  </si>
  <si>
    <t>Ja, den betas</t>
  </si>
  <si>
    <t>Finns det naturbetesmark på gården?</t>
  </si>
  <si>
    <t>Areal höstvete, ha</t>
  </si>
  <si>
    <t/>
  </si>
  <si>
    <t>Har du förbättrat strukturen med strukturkalkning på dina lerjordar över 20 % ler de senaste tio åren?</t>
  </si>
  <si>
    <t>Har du ofta problem med stående vatten efter ett kraftigt regn eller bevattning på delar av fältet?</t>
  </si>
  <si>
    <t>Tillför du organiskt material till din åkermark, i form av till exempel stallgödsel, annan organisk gödsel (såsom rötslam, biogödsel) minst en gång i växtföljden?</t>
  </si>
  <si>
    <t>Har du minskat användningen av maskiner/redskap med högre hjullast än 3 ton per hjul t.ex. genom dubbelmontage, fler axlar eller mindre totallast?</t>
  </si>
  <si>
    <t xml:space="preserve">Använder du dig av GPS-styrning eller fasta körspår? </t>
  </si>
  <si>
    <t>Energianvändning per enhet produkt</t>
  </si>
  <si>
    <t>kWh/enhet</t>
  </si>
  <si>
    <t>kWh</t>
  </si>
  <si>
    <t>Energianvändning per enhet produkt, kWh/enhet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</si>
</sst>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i/>
      <sz val="11"/>
      <color rgb="FFFF0000"/>
      <name val="Arial"/>
      <family val="2"/>
      <scheme val="minor"/>
    </font>
    <font>
      <sz val="14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name val="Arial"/>
      <family val="2"/>
      <scheme val="minor"/>
    </font>
    <font>
      <sz val="16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Calibri"/>
      <family val="2"/>
    </font>
    <font>
      <strike/>
      <sz val="11"/>
      <color theme="1"/>
      <name val="Arial"/>
      <family val="2"/>
      <scheme val="minor"/>
    </font>
    <font>
      <sz val="10"/>
      <color theme="1"/>
      <name val="Tahoma"/>
      <family val="2"/>
    </font>
    <font>
      <sz val="8"/>
      <color rgb="FF000000"/>
      <name val="Segoe UI"/>
      <family val="2"/>
    </font>
    <font>
      <sz val="8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right"/>
    </xf>
    <xf numFmtId="0" fontId="9" fillId="0" borderId="0" xfId="0" applyFont="1" applyAlignment="1">
      <alignment horizontal="left" vertical="center" readingOrder="1"/>
    </xf>
    <xf numFmtId="0" fontId="1" fillId="0" borderId="8" xfId="0" applyFont="1" applyBorder="1"/>
    <xf numFmtId="0" fontId="1" fillId="0" borderId="9" xfId="0" applyFont="1" applyBorder="1"/>
    <xf numFmtId="0" fontId="0" fillId="0" borderId="0" xfId="0" applyAlignment="1">
      <alignment horizontal="center" vertical="top"/>
    </xf>
    <xf numFmtId="0" fontId="0" fillId="0" borderId="0" xfId="0" applyBorder="1"/>
    <xf numFmtId="0" fontId="1" fillId="2" borderId="0" xfId="0" applyFont="1" applyFill="1"/>
    <xf numFmtId="0" fontId="1" fillId="3" borderId="0" xfId="0" applyFont="1" applyFill="1"/>
    <xf numFmtId="0" fontId="7" fillId="3" borderId="0" xfId="0" applyFont="1" applyFill="1"/>
    <xf numFmtId="0" fontId="1" fillId="3" borderId="6" xfId="0" applyFont="1" applyFill="1" applyBorder="1"/>
    <xf numFmtId="0" fontId="1" fillId="3" borderId="8" xfId="0" applyFont="1" applyFill="1" applyBorder="1"/>
    <xf numFmtId="0" fontId="8" fillId="3" borderId="0" xfId="4" applyFill="1" applyBorder="1"/>
    <xf numFmtId="0" fontId="1" fillId="3" borderId="0" xfId="0" applyFont="1" applyFill="1" applyBorder="1"/>
    <xf numFmtId="0" fontId="1" fillId="3" borderId="9" xfId="0" applyFont="1" applyFill="1" applyBorder="1"/>
    <xf numFmtId="0" fontId="1" fillId="3" borderId="7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8" fillId="4" borderId="6" xfId="4" applyFill="1" applyBorder="1" applyAlignment="1">
      <alignment horizontal="left"/>
    </xf>
    <xf numFmtId="0" fontId="1" fillId="4" borderId="6" xfId="0" applyFont="1" applyFill="1" applyBorder="1"/>
    <xf numFmtId="0" fontId="1" fillId="4" borderId="8" xfId="0" applyFont="1" applyFill="1" applyBorder="1"/>
    <xf numFmtId="0" fontId="8" fillId="4" borderId="0" xfId="4" applyFill="1" applyBorder="1"/>
    <xf numFmtId="0" fontId="1" fillId="4" borderId="0" xfId="0" applyFont="1" applyFill="1" applyBorder="1"/>
    <xf numFmtId="0" fontId="1" fillId="4" borderId="9" xfId="0" applyFont="1" applyFill="1" applyBorder="1"/>
    <xf numFmtId="0" fontId="1" fillId="3" borderId="15" xfId="0" applyFont="1" applyFill="1" applyBorder="1"/>
    <xf numFmtId="0" fontId="0" fillId="3" borderId="0" xfId="0" applyFill="1"/>
    <xf numFmtId="0" fontId="0" fillId="3" borderId="8" xfId="0" applyFill="1" applyBorder="1"/>
    <xf numFmtId="0" fontId="0" fillId="3" borderId="7" xfId="0" applyFill="1" applyBorder="1"/>
    <xf numFmtId="0" fontId="0" fillId="3" borderId="9" xfId="0" applyFill="1" applyBorder="1"/>
    <xf numFmtId="0" fontId="7" fillId="3" borderId="5" xfId="0" applyFont="1" applyFill="1" applyBorder="1"/>
    <xf numFmtId="0" fontId="1" fillId="0" borderId="0" xfId="0" applyFont="1" applyFill="1"/>
    <xf numFmtId="0" fontId="10" fillId="3" borderId="6" xfId="0" applyFont="1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11" xfId="0" applyFill="1" applyBorder="1"/>
    <xf numFmtId="0" fontId="10" fillId="3" borderId="0" xfId="0" applyFont="1" applyFill="1" applyBorder="1"/>
    <xf numFmtId="0" fontId="1" fillId="3" borderId="5" xfId="0" applyFont="1" applyFill="1" applyBorder="1"/>
    <xf numFmtId="0" fontId="0" fillId="3" borderId="7" xfId="0" applyFont="1" applyFill="1" applyBorder="1"/>
    <xf numFmtId="0" fontId="5" fillId="3" borderId="0" xfId="0" applyFont="1" applyFill="1" applyBorder="1" applyAlignment="1">
      <alignment horizontal="center" vertical="top"/>
    </xf>
    <xf numFmtId="0" fontId="5" fillId="3" borderId="11" xfId="0" applyFont="1" applyFill="1" applyBorder="1" applyAlignment="1">
      <alignment horizontal="center" vertical="top"/>
    </xf>
    <xf numFmtId="0" fontId="0" fillId="3" borderId="5" xfId="0" applyFill="1" applyBorder="1" applyAlignment="1">
      <alignment horizontal="right" vertical="top"/>
    </xf>
    <xf numFmtId="0" fontId="0" fillId="3" borderId="7" xfId="0" applyFill="1" applyBorder="1" applyAlignment="1">
      <alignment horizontal="right" vertical="top"/>
    </xf>
    <xf numFmtId="0" fontId="0" fillId="3" borderId="10" xfId="0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0" fillId="3" borderId="11" xfId="0" applyFill="1" applyBorder="1" applyAlignment="1">
      <alignment horizontal="right" vertical="top"/>
    </xf>
    <xf numFmtId="0" fontId="0" fillId="2" borderId="0" xfId="0" applyFill="1" applyAlignment="1">
      <alignment horizontal="right" vertical="top"/>
    </xf>
    <xf numFmtId="0" fontId="7" fillId="3" borderId="0" xfId="0" applyFont="1" applyFill="1" applyBorder="1" applyAlignment="1">
      <alignment horizontal="center"/>
    </xf>
    <xf numFmtId="0" fontId="0" fillId="0" borderId="0" xfId="0" applyFill="1" applyBorder="1"/>
    <xf numFmtId="9" fontId="0" fillId="3" borderId="10" xfId="0" applyNumberFormat="1" applyFill="1" applyBorder="1"/>
    <xf numFmtId="0" fontId="1" fillId="3" borderId="0" xfId="0" applyFont="1" applyFill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15" fillId="3" borderId="6" xfId="0" applyFont="1" applyFill="1" applyBorder="1"/>
    <xf numFmtId="0" fontId="13" fillId="3" borderId="0" xfId="0" quotePrefix="1" applyFont="1" applyFill="1" applyBorder="1" applyAlignment="1">
      <alignment vertical="top" wrapText="1"/>
    </xf>
    <xf numFmtId="0" fontId="0" fillId="3" borderId="0" xfId="0" applyFill="1" applyBorder="1" applyAlignment="1">
      <alignment horizontal="center" vertical="top"/>
    </xf>
    <xf numFmtId="0" fontId="1" fillId="3" borderId="0" xfId="0" applyFont="1" applyFill="1" applyBorder="1" applyAlignment="1">
      <alignment vertical="top" wrapText="1"/>
    </xf>
    <xf numFmtId="0" fontId="0" fillId="3" borderId="11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1" fillId="3" borderId="12" xfId="0" applyFont="1" applyFill="1" applyBorder="1" applyAlignment="1">
      <alignment wrapText="1"/>
    </xf>
    <xf numFmtId="0" fontId="13" fillId="3" borderId="12" xfId="0" quotePrefix="1" applyFont="1" applyFill="1" applyBorder="1" applyAlignment="1">
      <alignment vertical="top" wrapText="1"/>
    </xf>
    <xf numFmtId="0" fontId="0" fillId="3" borderId="16" xfId="0" applyFill="1" applyBorder="1" applyAlignment="1">
      <alignment horizontal="right"/>
    </xf>
    <xf numFmtId="0" fontId="0" fillId="2" borderId="0" xfId="0" applyFill="1" applyAlignment="1">
      <alignment horizontal="center" vertical="top"/>
    </xf>
    <xf numFmtId="0" fontId="14" fillId="2" borderId="0" xfId="0" applyFont="1" applyFill="1"/>
    <xf numFmtId="0" fontId="7" fillId="3" borderId="6" xfId="0" applyFont="1" applyFill="1" applyBorder="1"/>
    <xf numFmtId="0" fontId="7" fillId="3" borderId="6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7" fillId="3" borderId="0" xfId="0" applyFont="1" applyFill="1" applyBorder="1"/>
    <xf numFmtId="1" fontId="1" fillId="3" borderId="0" xfId="0" applyNumberFormat="1" applyFont="1" applyFill="1" applyBorder="1"/>
    <xf numFmtId="1" fontId="1" fillId="3" borderId="9" xfId="0" applyNumberFormat="1" applyFont="1" applyFill="1" applyBorder="1"/>
    <xf numFmtId="1" fontId="1" fillId="3" borderId="11" xfId="0" applyNumberFormat="1" applyFont="1" applyFill="1" applyBorder="1"/>
    <xf numFmtId="9" fontId="1" fillId="3" borderId="11" xfId="0" applyNumberFormat="1" applyFont="1" applyFill="1" applyBorder="1"/>
    <xf numFmtId="0" fontId="0" fillId="2" borderId="0" xfId="0" applyFill="1" applyAlignment="1">
      <alignment horizontal="right"/>
    </xf>
    <xf numFmtId="0" fontId="0" fillId="3" borderId="12" xfId="0" applyFill="1" applyBorder="1" applyAlignment="1">
      <alignment horizontal="right"/>
    </xf>
    <xf numFmtId="0" fontId="1" fillId="3" borderId="4" xfId="0" applyFont="1" applyFill="1" applyBorder="1"/>
    <xf numFmtId="0" fontId="15" fillId="3" borderId="0" xfId="0" applyFont="1" applyFill="1" applyBorder="1"/>
    <xf numFmtId="0" fontId="1" fillId="3" borderId="12" xfId="0" applyFont="1" applyFill="1" applyBorder="1" applyAlignment="1">
      <alignment vertical="top" wrapText="1"/>
    </xf>
    <xf numFmtId="0" fontId="7" fillId="0" borderId="0" xfId="0" applyFont="1"/>
    <xf numFmtId="9" fontId="1" fillId="0" borderId="0" xfId="0" applyNumberFormat="1" applyFont="1"/>
    <xf numFmtId="2" fontId="1" fillId="0" borderId="0" xfId="0" applyNumberFormat="1" applyFont="1"/>
    <xf numFmtId="9" fontId="0" fillId="0" borderId="0" xfId="0" applyNumberFormat="1"/>
    <xf numFmtId="0" fontId="1" fillId="2" borderId="4" xfId="0" applyFont="1" applyFill="1" applyBorder="1"/>
    <xf numFmtId="9" fontId="1" fillId="3" borderId="0" xfId="0" applyNumberFormat="1" applyFont="1" applyFill="1" applyBorder="1"/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0" fillId="0" borderId="5" xfId="0" applyFont="1" applyBorder="1"/>
    <xf numFmtId="0" fontId="7" fillId="0" borderId="7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9" xfId="0" applyFont="1" applyFill="1" applyBorder="1"/>
    <xf numFmtId="1" fontId="1" fillId="0" borderId="0" xfId="0" applyNumberFormat="1" applyFont="1" applyBorder="1"/>
    <xf numFmtId="9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Fill="1" applyBorder="1"/>
    <xf numFmtId="0" fontId="7" fillId="0" borderId="6" xfId="0" applyFont="1" applyBorder="1" applyAlignment="1">
      <alignment horizontal="center" wrapText="1"/>
    </xf>
    <xf numFmtId="2" fontId="1" fillId="0" borderId="0" xfId="0" applyNumberFormat="1" applyFont="1" applyBorder="1"/>
    <xf numFmtId="164" fontId="1" fillId="0" borderId="0" xfId="0" applyNumberFormat="1" applyFont="1" applyBorder="1"/>
    <xf numFmtId="0" fontId="1" fillId="3" borderId="1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1" fillId="0" borderId="6" xfId="0" applyFont="1" applyBorder="1"/>
    <xf numFmtId="164" fontId="1" fillId="3" borderId="7" xfId="0" applyNumberFormat="1" applyFont="1" applyFill="1" applyBorder="1"/>
    <xf numFmtId="0" fontId="1" fillId="3" borderId="10" xfId="0" applyFont="1" applyFill="1" applyBorder="1" applyAlignment="1">
      <alignment horizontal="right"/>
    </xf>
    <xf numFmtId="2" fontId="1" fillId="3" borderId="7" xfId="0" applyNumberFormat="1" applyFont="1" applyFill="1" applyBorder="1"/>
    <xf numFmtId="0" fontId="19" fillId="3" borderId="5" xfId="0" applyFont="1" applyFill="1" applyBorder="1"/>
    <xf numFmtId="1" fontId="1" fillId="3" borderId="6" xfId="0" applyNumberFormat="1" applyFont="1" applyFill="1" applyBorder="1"/>
    <xf numFmtId="1" fontId="1" fillId="3" borderId="8" xfId="0" applyNumberFormat="1" applyFont="1" applyFill="1" applyBorder="1"/>
    <xf numFmtId="1" fontId="1" fillId="3" borderId="7" xfId="0" applyNumberFormat="1" applyFont="1" applyFill="1" applyBorder="1"/>
    <xf numFmtId="0" fontId="19" fillId="3" borderId="7" xfId="0" applyFont="1" applyFill="1" applyBorder="1"/>
    <xf numFmtId="1" fontId="1" fillId="3" borderId="5" xfId="0" applyNumberFormat="1" applyFont="1" applyFill="1" applyBorder="1"/>
    <xf numFmtId="1" fontId="1" fillId="3" borderId="10" xfId="0" applyNumberFormat="1" applyFont="1" applyFill="1" applyBorder="1"/>
    <xf numFmtId="0" fontId="0" fillId="5" borderId="0" xfId="0" applyFill="1"/>
    <xf numFmtId="0" fontId="22" fillId="5" borderId="0" xfId="0" applyFont="1" applyFill="1"/>
    <xf numFmtId="0" fontId="23" fillId="5" borderId="0" xfId="0" applyFont="1" applyFill="1"/>
    <xf numFmtId="0" fontId="15" fillId="6" borderId="11" xfId="0" applyFont="1" applyFill="1" applyBorder="1"/>
    <xf numFmtId="0" fontId="24" fillId="0" borderId="4" xfId="0" applyFont="1" applyBorder="1"/>
    <xf numFmtId="0" fontId="0" fillId="5" borderId="0" xfId="0" applyFill="1" applyAlignment="1">
      <alignment horizontal="center"/>
    </xf>
    <xf numFmtId="0" fontId="15" fillId="5" borderId="0" xfId="0" applyFont="1" applyFill="1"/>
    <xf numFmtId="0" fontId="0" fillId="0" borderId="0" xfId="0" applyFont="1"/>
    <xf numFmtId="0" fontId="25" fillId="0" borderId="0" xfId="0" applyFont="1"/>
    <xf numFmtId="0" fontId="8" fillId="5" borderId="0" xfId="4" applyFill="1" applyAlignment="1">
      <alignment horizontal="center"/>
    </xf>
    <xf numFmtId="164" fontId="10" fillId="0" borderId="0" xfId="0" applyNumberFormat="1" applyFont="1" applyAlignment="1">
      <alignment horizontal="center"/>
    </xf>
    <xf numFmtId="0" fontId="17" fillId="3" borderId="0" xfId="0" applyFont="1" applyFill="1"/>
    <xf numFmtId="0" fontId="1" fillId="0" borderId="6" xfId="0" applyFont="1" applyBorder="1" applyAlignment="1">
      <alignment horizontal="right"/>
    </xf>
    <xf numFmtId="9" fontId="1" fillId="0" borderId="9" xfId="0" applyNumberFormat="1" applyFont="1" applyBorder="1"/>
    <xf numFmtId="9" fontId="1" fillId="0" borderId="11" xfId="0" applyNumberFormat="1" applyFont="1" applyBorder="1"/>
    <xf numFmtId="0" fontId="1" fillId="0" borderId="12" xfId="0" applyFont="1" applyBorder="1" applyAlignment="1">
      <alignment horizontal="right"/>
    </xf>
    <xf numFmtId="0" fontId="21" fillId="3" borderId="0" xfId="0" applyFont="1" applyFill="1" applyBorder="1"/>
    <xf numFmtId="0" fontId="7" fillId="3" borderId="8" xfId="0" applyFont="1" applyFill="1" applyBorder="1" applyAlignment="1">
      <alignment horizontal="center" wrapText="1"/>
    </xf>
    <xf numFmtId="0" fontId="7" fillId="3" borderId="13" xfId="0" applyFont="1" applyFill="1" applyBorder="1"/>
    <xf numFmtId="1" fontId="1" fillId="3" borderId="13" xfId="0" applyNumberFormat="1" applyFont="1" applyFill="1" applyBorder="1"/>
    <xf numFmtId="1" fontId="1" fillId="3" borderId="14" xfId="0" applyNumberFormat="1" applyFont="1" applyFill="1" applyBorder="1"/>
    <xf numFmtId="1" fontId="1" fillId="3" borderId="15" xfId="0" applyNumberFormat="1" applyFont="1" applyFill="1" applyBorder="1"/>
    <xf numFmtId="16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3" borderId="14" xfId="0" applyNumberFormat="1" applyFont="1" applyFill="1" applyBorder="1" applyAlignment="1">
      <alignment horizontal="right"/>
    </xf>
    <xf numFmtId="1" fontId="1" fillId="3" borderId="14" xfId="0" applyNumberFormat="1" applyFont="1" applyFill="1" applyBorder="1" applyAlignment="1">
      <alignment horizontal="right"/>
    </xf>
    <xf numFmtId="0" fontId="1" fillId="0" borderId="4" xfId="0" applyFont="1" applyBorder="1"/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3" borderId="0" xfId="0" applyFill="1" applyBorder="1" applyAlignment="1">
      <alignment horizontal="right" wrapText="1"/>
    </xf>
    <xf numFmtId="0" fontId="0" fillId="2" borderId="4" xfId="0" applyFill="1" applyBorder="1"/>
    <xf numFmtId="0" fontId="11" fillId="3" borderId="0" xfId="0" applyFont="1" applyFill="1" applyBorder="1" applyAlignment="1">
      <alignment wrapText="1"/>
    </xf>
    <xf numFmtId="0" fontId="0" fillId="3" borderId="5" xfId="0" applyFill="1" applyBorder="1" applyAlignment="1">
      <alignment horizontal="center" vertical="top"/>
    </xf>
    <xf numFmtId="0" fontId="5" fillId="3" borderId="7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wrapText="1"/>
    </xf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10" fillId="3" borderId="7" xfId="0" applyFont="1" applyFill="1" applyBorder="1"/>
    <xf numFmtId="0" fontId="1" fillId="3" borderId="7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right"/>
    </xf>
    <xf numFmtId="0" fontId="19" fillId="3" borderId="8" xfId="0" applyFont="1" applyFill="1" applyBorder="1"/>
    <xf numFmtId="0" fontId="19" fillId="3" borderId="9" xfId="0" applyFont="1" applyFill="1" applyBorder="1"/>
    <xf numFmtId="0" fontId="8" fillId="3" borderId="0" xfId="4" applyFill="1" applyBorder="1" applyAlignment="1">
      <alignment horizontal="center"/>
    </xf>
    <xf numFmtId="0" fontId="8" fillId="3" borderId="0" xfId="4" applyFill="1"/>
    <xf numFmtId="164" fontId="1" fillId="3" borderId="4" xfId="0" applyNumberFormat="1" applyFont="1" applyFill="1" applyBorder="1"/>
    <xf numFmtId="0" fontId="27" fillId="3" borderId="0" xfId="0" applyFont="1" applyFill="1" applyBorder="1"/>
    <xf numFmtId="0" fontId="27" fillId="2" borderId="0" xfId="0" applyFont="1" applyFill="1"/>
    <xf numFmtId="0" fontId="27" fillId="0" borderId="0" xfId="0" applyFont="1"/>
    <xf numFmtId="0" fontId="26" fillId="0" borderId="0" xfId="0" applyFont="1" applyAlignment="1">
      <alignment horizontal="left" vertical="center" indent="8"/>
    </xf>
    <xf numFmtId="0" fontId="28" fillId="0" borderId="0" xfId="0" applyFont="1"/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vertical="top" wrapText="1"/>
    </xf>
    <xf numFmtId="0" fontId="13" fillId="3" borderId="18" xfId="0" quotePrefix="1" applyFont="1" applyFill="1" applyBorder="1" applyAlignment="1">
      <alignment vertical="top" wrapText="1"/>
    </xf>
    <xf numFmtId="0" fontId="0" fillId="0" borderId="4" xfId="0" applyBorder="1"/>
    <xf numFmtId="0" fontId="1" fillId="0" borderId="17" xfId="0" applyFont="1" applyBorder="1"/>
    <xf numFmtId="0" fontId="1" fillId="0" borderId="18" xfId="0" applyFont="1" applyBorder="1"/>
    <xf numFmtId="1" fontId="0" fillId="0" borderId="0" xfId="0" applyNumberFormat="1"/>
    <xf numFmtId="1" fontId="1" fillId="0" borderId="0" xfId="0" applyNumberFormat="1" applyFont="1"/>
    <xf numFmtId="0" fontId="30" fillId="0" borderId="7" xfId="0" applyFont="1" applyBorder="1"/>
    <xf numFmtId="0" fontId="30" fillId="0" borderId="0" xfId="0" applyFont="1"/>
    <xf numFmtId="1" fontId="1" fillId="0" borderId="7" xfId="0" applyNumberFormat="1" applyFont="1" applyFill="1" applyBorder="1"/>
    <xf numFmtId="1" fontId="1" fillId="0" borderId="0" xfId="0" applyNumberFormat="1" applyFont="1" applyFill="1" applyBorder="1"/>
    <xf numFmtId="9" fontId="1" fillId="3" borderId="0" xfId="0" applyNumberFormat="1" applyFont="1" applyFill="1"/>
    <xf numFmtId="0" fontId="19" fillId="0" borderId="0" xfId="0" applyFont="1" applyBorder="1"/>
    <xf numFmtId="0" fontId="0" fillId="3" borderId="4" xfId="0" applyFill="1" applyBorder="1" applyAlignment="1">
      <alignment horizontal="right"/>
    </xf>
    <xf numFmtId="0" fontId="8" fillId="0" borderId="0" xfId="4" applyFill="1" applyAlignment="1">
      <alignment horizontal="center"/>
    </xf>
    <xf numFmtId="0" fontId="1" fillId="0" borderId="0" xfId="0" quotePrefix="1" applyFont="1"/>
    <xf numFmtId="0" fontId="1" fillId="3" borderId="10" xfId="0" quotePrefix="1" applyFont="1" applyFill="1" applyBorder="1"/>
    <xf numFmtId="0" fontId="1" fillId="3" borderId="11" xfId="0" quotePrefix="1" applyFont="1" applyFill="1" applyBorder="1"/>
    <xf numFmtId="0" fontId="1" fillId="3" borderId="12" xfId="0" quotePrefix="1" applyFont="1" applyFill="1" applyBorder="1"/>
    <xf numFmtId="1" fontId="19" fillId="3" borderId="7" xfId="0" applyNumberFormat="1" applyFont="1" applyFill="1" applyBorder="1"/>
    <xf numFmtId="0" fontId="7" fillId="3" borderId="7" xfId="0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  <xf numFmtId="0" fontId="0" fillId="2" borderId="4" xfId="0" applyFont="1" applyFill="1" applyBorder="1"/>
    <xf numFmtId="2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" fontId="1" fillId="0" borderId="0" xfId="0" applyNumberFormat="1" applyFont="1" applyBorder="1" applyAlignment="1">
      <alignment horizontal="right"/>
    </xf>
    <xf numFmtId="0" fontId="1" fillId="3" borderId="16" xfId="0" applyFont="1" applyFill="1" applyBorder="1"/>
    <xf numFmtId="0" fontId="0" fillId="2" borderId="0" xfId="0" applyFill="1" applyAlignment="1">
      <alignment wrapText="1"/>
    </xf>
    <xf numFmtId="0" fontId="10" fillId="3" borderId="11" xfId="0" applyFont="1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164" fontId="1" fillId="3" borderId="0" xfId="0" applyNumberFormat="1" applyFont="1" applyFill="1" applyBorder="1"/>
    <xf numFmtId="0" fontId="21" fillId="3" borderId="4" xfId="0" applyFont="1" applyFill="1" applyBorder="1" applyAlignment="1">
      <alignment wrapText="1"/>
    </xf>
    <xf numFmtId="0" fontId="24" fillId="7" borderId="11" xfId="0" applyFont="1" applyFill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" fillId="3" borderId="0" xfId="0" applyFont="1" applyFill="1" applyBorder="1" applyAlignment="1">
      <alignment vertical="top" wrapText="1"/>
    </xf>
    <xf numFmtId="0" fontId="0" fillId="0" borderId="0" xfId="0" applyAlignment="1"/>
    <xf numFmtId="0" fontId="7" fillId="3" borderId="7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color theme="2" tint="-9.9948118533890809E-2"/>
      </font>
    </dxf>
    <dxf>
      <font>
        <color theme="2" tint="-9.9948118533890809E-2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color theme="2"/>
      </font>
    </dxf>
    <dxf>
      <font>
        <color theme="2"/>
      </font>
    </dxf>
    <dxf>
      <font>
        <color theme="2"/>
      </font>
    </dxf>
    <dxf>
      <font>
        <color theme="2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strike val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strike val="0"/>
        <color theme="0" tint="-0.24994659260841701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strike val="0"/>
        <color theme="0" tint="-0.24994659260841701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 tint="-0.24994659260841701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Hållbarhetsanalys</a:t>
            </a:r>
          </a:p>
        </c:rich>
      </c:tx>
      <c:layout>
        <c:manualLayout>
          <c:xMode val="edge"/>
          <c:yMode val="edge"/>
          <c:x val="0.36045975956373327"/>
          <c:y val="1.7175806649490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Figur!$C$2</c:f>
              <c:strCache>
                <c:ptCount val="1"/>
                <c:pt idx="0">
                  <c:v>Ring1</c:v>
                </c:pt>
              </c:strCache>
            </c:strRef>
          </c:tx>
          <c:spPr>
            <a:ln w="952500" cap="rnd">
              <a:solidFill>
                <a:srgbClr val="00B050"/>
              </a:solidFill>
              <a:round/>
            </a:ln>
            <a:effectLst>
              <a:softEdge rad="127000"/>
            </a:effectLst>
          </c:spPr>
          <c:marker>
            <c:symbol val="none"/>
          </c:marker>
          <c:cat>
            <c:multiLvlStrRef>
              <c:f>Figur!$B$3:$B$28</c:f>
            </c:multiLvlStrRef>
          </c:cat>
          <c:val>
            <c:numRef>
              <c:f>Figur!$C$3:$C$28</c:f>
              <c:numCache>
                <c:formatCode>General</c:formatCode>
                <c:ptCount val="26"/>
                <c:pt idx="0">
                  <c:v>87.5</c:v>
                </c:pt>
                <c:pt idx="1">
                  <c:v>87.5</c:v>
                </c:pt>
                <c:pt idx="2">
                  <c:v>87.5</c:v>
                </c:pt>
                <c:pt idx="3">
                  <c:v>87.5</c:v>
                </c:pt>
                <c:pt idx="4">
                  <c:v>87.5</c:v>
                </c:pt>
                <c:pt idx="5">
                  <c:v>87.5</c:v>
                </c:pt>
                <c:pt idx="6">
                  <c:v>87.5</c:v>
                </c:pt>
                <c:pt idx="7">
                  <c:v>87.5</c:v>
                </c:pt>
                <c:pt idx="8">
                  <c:v>87.5</c:v>
                </c:pt>
                <c:pt idx="9">
                  <c:v>87.5</c:v>
                </c:pt>
                <c:pt idx="10">
                  <c:v>87.5</c:v>
                </c:pt>
                <c:pt idx="11">
                  <c:v>87.5</c:v>
                </c:pt>
                <c:pt idx="12">
                  <c:v>87.5</c:v>
                </c:pt>
                <c:pt idx="13">
                  <c:v>87.5</c:v>
                </c:pt>
                <c:pt idx="14">
                  <c:v>87.5</c:v>
                </c:pt>
                <c:pt idx="15">
                  <c:v>87.5</c:v>
                </c:pt>
                <c:pt idx="16">
                  <c:v>87.5</c:v>
                </c:pt>
                <c:pt idx="17">
                  <c:v>87.5</c:v>
                </c:pt>
                <c:pt idx="18">
                  <c:v>87.5</c:v>
                </c:pt>
                <c:pt idx="19">
                  <c:v>87.5</c:v>
                </c:pt>
                <c:pt idx="20">
                  <c:v>87.5</c:v>
                </c:pt>
                <c:pt idx="21">
                  <c:v>87.5</c:v>
                </c:pt>
                <c:pt idx="22">
                  <c:v>87.5</c:v>
                </c:pt>
                <c:pt idx="23">
                  <c:v>87.5</c:v>
                </c:pt>
                <c:pt idx="24">
                  <c:v>87.5</c:v>
                </c:pt>
                <c:pt idx="25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D-47C0-B177-EADDB4A7584C}"/>
            </c:ext>
          </c:extLst>
        </c:ser>
        <c:ser>
          <c:idx val="1"/>
          <c:order val="1"/>
          <c:tx>
            <c:strRef>
              <c:f>Figur!$D$2</c:f>
              <c:strCache>
                <c:ptCount val="1"/>
                <c:pt idx="0">
                  <c:v>ring2</c:v>
                </c:pt>
              </c:strCache>
            </c:strRef>
          </c:tx>
          <c:spPr>
            <a:ln w="952500" cap="rnd">
              <a:solidFill>
                <a:srgbClr val="FFFF00"/>
              </a:solidFill>
              <a:round/>
            </a:ln>
            <a:effectLst>
              <a:softEdge rad="0"/>
            </a:effectLst>
          </c:spPr>
          <c:marker>
            <c:symbol val="none"/>
          </c:marker>
          <c:cat>
            <c:multiLvlStrRef>
              <c:f>Figur!$B$3:$B$28</c:f>
            </c:multiLvlStrRef>
          </c:cat>
          <c:val>
            <c:numRef>
              <c:f>Figur!$D$3:$D$28</c:f>
              <c:numCache>
                <c:formatCode>General</c:formatCode>
                <c:ptCount val="2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D-47C0-B177-EADDB4A7584C}"/>
            </c:ext>
          </c:extLst>
        </c:ser>
        <c:ser>
          <c:idx val="2"/>
          <c:order val="2"/>
          <c:tx>
            <c:strRef>
              <c:f>Figur!$E$2</c:f>
              <c:strCache>
                <c:ptCount val="1"/>
                <c:pt idx="0">
                  <c:v>ring3</c:v>
                </c:pt>
              </c:strCache>
            </c:strRef>
          </c:tx>
          <c:spPr>
            <a:ln w="7620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Figur!$B$3:$B$28</c:f>
            </c:multiLvlStrRef>
          </c:cat>
          <c:val>
            <c:numRef>
              <c:f>Figur!$E$3:$E$28</c:f>
              <c:numCache>
                <c:formatCode>General</c:formatCode>
                <c:ptCount val="26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  <c:pt idx="10">
                  <c:v>12.5</c:v>
                </c:pt>
                <c:pt idx="11">
                  <c:v>12.5</c:v>
                </c:pt>
                <c:pt idx="12">
                  <c:v>12.5</c:v>
                </c:pt>
                <c:pt idx="13">
                  <c:v>12.5</c:v>
                </c:pt>
                <c:pt idx="14">
                  <c:v>12.5</c:v>
                </c:pt>
                <c:pt idx="15">
                  <c:v>12.5</c:v>
                </c:pt>
                <c:pt idx="16">
                  <c:v>12.5</c:v>
                </c:pt>
                <c:pt idx="17">
                  <c:v>12.5</c:v>
                </c:pt>
                <c:pt idx="18">
                  <c:v>12.5</c:v>
                </c:pt>
                <c:pt idx="19">
                  <c:v>12.5</c:v>
                </c:pt>
                <c:pt idx="20">
                  <c:v>12.5</c:v>
                </c:pt>
                <c:pt idx="21">
                  <c:v>12.5</c:v>
                </c:pt>
                <c:pt idx="22">
                  <c:v>12.5</c:v>
                </c:pt>
                <c:pt idx="23">
                  <c:v>12.5</c:v>
                </c:pt>
                <c:pt idx="24">
                  <c:v>12.5</c:v>
                </c:pt>
                <c:pt idx="2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4D-47C0-B177-EADDB4A7584C}"/>
            </c:ext>
          </c:extLst>
        </c:ser>
        <c:ser>
          <c:idx val="3"/>
          <c:order val="3"/>
          <c:tx>
            <c:strRef>
              <c:f>Figur!$F$2</c:f>
              <c:strCache>
                <c:ptCount val="1"/>
                <c:pt idx="0">
                  <c:v>Värde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multiLvlStrRef>
              <c:f>Figur!$B$3:$B$28</c:f>
            </c:multiLvlStrRef>
          </c:cat>
          <c:val>
            <c:numRef>
              <c:f>Figur!$F$3:$F$28</c:f>
              <c:numCache>
                <c:formatCode>0</c:formatCode>
                <c:ptCount val="2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4D-47C0-B177-EADDB4A75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439680"/>
        <c:axId val="661440032"/>
      </c:radarChart>
      <c:catAx>
        <c:axId val="6614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1440032"/>
        <c:crosses val="autoZero"/>
        <c:auto val="1"/>
        <c:lblAlgn val="ctr"/>
        <c:lblOffset val="100"/>
        <c:noMultiLvlLbl val="0"/>
      </c:catAx>
      <c:valAx>
        <c:axId val="661440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6143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fmlaLink="$I$6" lockText="1" noThreeD="1"/>
</file>

<file path=xl/ctrlProps/ctrlProp10.xml><?xml version="1.0" encoding="utf-8"?>
<formControlPr xmlns="http://schemas.microsoft.com/office/spreadsheetml/2009/9/main" objectType="CheckBox" fmlaLink="$I$24" lockText="1" noThreeD="1"/>
</file>

<file path=xl/ctrlProps/ctrlProp11.xml><?xml version="1.0" encoding="utf-8"?>
<formControlPr xmlns="http://schemas.microsoft.com/office/spreadsheetml/2009/9/main" objectType="CheckBox" fmlaLink="$I$25" lockText="1" noThreeD="1"/>
</file>

<file path=xl/ctrlProps/ctrlProp12.xml><?xml version="1.0" encoding="utf-8"?>
<formControlPr xmlns="http://schemas.microsoft.com/office/spreadsheetml/2009/9/main" objectType="CheckBox" fmlaLink="$I$27" lockText="1" noThreeD="1"/>
</file>

<file path=xl/ctrlProps/ctrlProp13.xml><?xml version="1.0" encoding="utf-8"?>
<formControlPr xmlns="http://schemas.microsoft.com/office/spreadsheetml/2009/9/main" objectType="CheckBox" fmlaLink="$I$37" lockText="1" noThreeD="1"/>
</file>

<file path=xl/ctrlProps/ctrlProp14.xml><?xml version="1.0" encoding="utf-8"?>
<formControlPr xmlns="http://schemas.microsoft.com/office/spreadsheetml/2009/9/main" objectType="CheckBox" fmlaLink="$I$28" lockText="1" noThreeD="1"/>
</file>

<file path=xl/ctrlProps/ctrlProp15.xml><?xml version="1.0" encoding="utf-8"?>
<formControlPr xmlns="http://schemas.microsoft.com/office/spreadsheetml/2009/9/main" objectType="CheckBox" fmlaLink="$I$29" lockText="1" noThreeD="1"/>
</file>

<file path=xl/ctrlProps/ctrlProp16.xml><?xml version="1.0" encoding="utf-8"?>
<formControlPr xmlns="http://schemas.microsoft.com/office/spreadsheetml/2009/9/main" objectType="CheckBox" fmlaLink="$I$30" lockText="1" noThreeD="1"/>
</file>

<file path=xl/ctrlProps/ctrlProp17.xml><?xml version="1.0" encoding="utf-8"?>
<formControlPr xmlns="http://schemas.microsoft.com/office/spreadsheetml/2009/9/main" objectType="CheckBox" fmlaLink="$I$31" lockText="1" noThreeD="1"/>
</file>

<file path=xl/ctrlProps/ctrlProp18.xml><?xml version="1.0" encoding="utf-8"?>
<formControlPr xmlns="http://schemas.microsoft.com/office/spreadsheetml/2009/9/main" objectType="CheckBox" fmlaLink="$I$32" lockText="1" noThreeD="1"/>
</file>

<file path=xl/ctrlProps/ctrlProp19.xml><?xml version="1.0" encoding="utf-8"?>
<formControlPr xmlns="http://schemas.microsoft.com/office/spreadsheetml/2009/9/main" objectType="CheckBox" fmlaLink="$I$33" lockText="1" noThreeD="1"/>
</file>

<file path=xl/ctrlProps/ctrlProp2.xml><?xml version="1.0" encoding="utf-8"?>
<formControlPr xmlns="http://schemas.microsoft.com/office/spreadsheetml/2009/9/main" objectType="CheckBox" fmlaLink="$I$16" lockText="1" noThreeD="1"/>
</file>

<file path=xl/ctrlProps/ctrlProp20.xml><?xml version="1.0" encoding="utf-8"?>
<formControlPr xmlns="http://schemas.microsoft.com/office/spreadsheetml/2009/9/main" objectType="CheckBox" fmlaLink="$I$34" lockText="1" noThreeD="1"/>
</file>

<file path=xl/ctrlProps/ctrlProp21.xml><?xml version="1.0" encoding="utf-8"?>
<formControlPr xmlns="http://schemas.microsoft.com/office/spreadsheetml/2009/9/main" objectType="CheckBox" fmlaLink="$I$35" lockText="1" noThreeD="1"/>
</file>

<file path=xl/ctrlProps/ctrlProp22.xml><?xml version="1.0" encoding="utf-8"?>
<formControlPr xmlns="http://schemas.microsoft.com/office/spreadsheetml/2009/9/main" objectType="CheckBox" fmlaLink="$I$38" lockText="1" noThreeD="1"/>
</file>

<file path=xl/ctrlProps/ctrlProp23.xml><?xml version="1.0" encoding="utf-8"?>
<formControlPr xmlns="http://schemas.microsoft.com/office/spreadsheetml/2009/9/main" objectType="CheckBox" fmlaLink="$I$39" lockText="1" noThreeD="1"/>
</file>

<file path=xl/ctrlProps/ctrlProp24.xml><?xml version="1.0" encoding="utf-8"?>
<formControlPr xmlns="http://schemas.microsoft.com/office/spreadsheetml/2009/9/main" objectType="CheckBox" fmlaLink="$I$40" lockText="1" noThreeD="1"/>
</file>

<file path=xl/ctrlProps/ctrlProp25.xml><?xml version="1.0" encoding="utf-8"?>
<formControlPr xmlns="http://schemas.microsoft.com/office/spreadsheetml/2009/9/main" objectType="CheckBox" fmlaLink="$I$41" lockText="1" noThreeD="1"/>
</file>

<file path=xl/ctrlProps/ctrlProp26.xml><?xml version="1.0" encoding="utf-8"?>
<formControlPr xmlns="http://schemas.microsoft.com/office/spreadsheetml/2009/9/main" objectType="CheckBox" fmlaLink="$I$42" lockText="1" noThreeD="1"/>
</file>

<file path=xl/ctrlProps/ctrlProp27.xml><?xml version="1.0" encoding="utf-8"?>
<formControlPr xmlns="http://schemas.microsoft.com/office/spreadsheetml/2009/9/main" objectType="CheckBox" fmlaLink="$I$43" lockText="1" noThreeD="1"/>
</file>

<file path=xl/ctrlProps/ctrlProp28.xml><?xml version="1.0" encoding="utf-8"?>
<formControlPr xmlns="http://schemas.microsoft.com/office/spreadsheetml/2009/9/main" objectType="CheckBox" fmlaLink="$I$44" lockText="1" noThreeD="1"/>
</file>

<file path=xl/ctrlProps/ctrlProp29.xml><?xml version="1.0" encoding="utf-8"?>
<formControlPr xmlns="http://schemas.microsoft.com/office/spreadsheetml/2009/9/main" objectType="CheckBox" fmlaLink="$I$45" lockText="1" noThreeD="1"/>
</file>

<file path=xl/ctrlProps/ctrlProp3.xml><?xml version="1.0" encoding="utf-8"?>
<formControlPr xmlns="http://schemas.microsoft.com/office/spreadsheetml/2009/9/main" objectType="CheckBox" fmlaLink="$I$17" lockText="1" noThreeD="1"/>
</file>

<file path=xl/ctrlProps/ctrlProp30.xml><?xml version="1.0" encoding="utf-8"?>
<formControlPr xmlns="http://schemas.microsoft.com/office/spreadsheetml/2009/9/main" objectType="CheckBox" fmlaLink="$I$46" lockText="1" noThreeD="1"/>
</file>

<file path=xl/ctrlProps/ctrlProp31.xml><?xml version="1.0" encoding="utf-8"?>
<formControlPr xmlns="http://schemas.microsoft.com/office/spreadsheetml/2009/9/main" objectType="CheckBox" fmlaLink="$I$14" lockText="1" noThreeD="1"/>
</file>

<file path=xl/ctrlProps/ctrlProp32.xml><?xml version="1.0" encoding="utf-8"?>
<formControlPr xmlns="http://schemas.microsoft.com/office/spreadsheetml/2009/9/main" objectType="CheckBox" fmlaLink="$I$13" lockText="1" noThreeD="1"/>
</file>

<file path=xl/ctrlProps/ctrlProp33.xml><?xml version="1.0" encoding="utf-8"?>
<formControlPr xmlns="http://schemas.microsoft.com/office/spreadsheetml/2009/9/main" objectType="CheckBox" fmlaLink="$I$12" lockText="1" noThreeD="1"/>
</file>

<file path=xl/ctrlProps/ctrlProp34.xml><?xml version="1.0" encoding="utf-8"?>
<formControlPr xmlns="http://schemas.microsoft.com/office/spreadsheetml/2009/9/main" objectType="CheckBox" fmlaLink="$I$11" lockText="1" noThreeD="1"/>
</file>

<file path=xl/ctrlProps/ctrlProp35.xml><?xml version="1.0" encoding="utf-8"?>
<formControlPr xmlns="http://schemas.microsoft.com/office/spreadsheetml/2009/9/main" objectType="CheckBox" fmlaLink="$I$10" lockText="1" noThreeD="1"/>
</file>

<file path=xl/ctrlProps/ctrlProp36.xml><?xml version="1.0" encoding="utf-8"?>
<formControlPr xmlns="http://schemas.microsoft.com/office/spreadsheetml/2009/9/main" objectType="CheckBox" fmlaLink="$I$9" lockText="1" noThreeD="1"/>
</file>

<file path=xl/ctrlProps/ctrlProp37.xml><?xml version="1.0" encoding="utf-8"?>
<formControlPr xmlns="http://schemas.microsoft.com/office/spreadsheetml/2009/9/main" objectType="CheckBox" fmlaLink="$I$8" lockText="1" noThreeD="1"/>
</file>

<file path=xl/ctrlProps/ctrlProp38.xml><?xml version="1.0" encoding="utf-8"?>
<formControlPr xmlns="http://schemas.microsoft.com/office/spreadsheetml/2009/9/main" objectType="CheckBox" fmlaLink="$I$7" lockText="1" noThreeD="1"/>
</file>

<file path=xl/ctrlProps/ctrlProp4.xml><?xml version="1.0" encoding="utf-8"?>
<formControlPr xmlns="http://schemas.microsoft.com/office/spreadsheetml/2009/9/main" objectType="CheckBox" fmlaLink="$I$18" lockText="1" noThreeD="1"/>
</file>

<file path=xl/ctrlProps/ctrlProp5.xml><?xml version="1.0" encoding="utf-8"?>
<formControlPr xmlns="http://schemas.microsoft.com/office/spreadsheetml/2009/9/main" objectType="CheckBox" fmlaLink="$I$19" lockText="1" noThreeD="1"/>
</file>

<file path=xl/ctrlProps/ctrlProp6.xml><?xml version="1.0" encoding="utf-8"?>
<formControlPr xmlns="http://schemas.microsoft.com/office/spreadsheetml/2009/9/main" objectType="CheckBox" fmlaLink="$I$20" lockText="1" noThreeD="1"/>
</file>

<file path=xl/ctrlProps/ctrlProp7.xml><?xml version="1.0" encoding="utf-8"?>
<formControlPr xmlns="http://schemas.microsoft.com/office/spreadsheetml/2009/9/main" objectType="CheckBox" fmlaLink="$I$21" lockText="1" noThreeD="1"/>
</file>

<file path=xl/ctrlProps/ctrlProp8.xml><?xml version="1.0" encoding="utf-8"?>
<formControlPr xmlns="http://schemas.microsoft.com/office/spreadsheetml/2009/9/main" objectType="CheckBox" fmlaLink="$I$22" lockText="1" noThreeD="1"/>
</file>

<file path=xl/ctrlProps/ctrlProp9.xml><?xml version="1.0" encoding="utf-8"?>
<formControlPr xmlns="http://schemas.microsoft.com/office/spreadsheetml/2009/9/main" objectType="CheckBox" fmlaLink="$I$23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</xdr:col>
          <xdr:colOff>1670050</xdr:colOff>
          <xdr:row>6</xdr:row>
          <xdr:rowOff>19050</xdr:rowOff>
        </xdr:to>
        <xdr:sp macro="" textlink="">
          <xdr:nvSpPr>
            <xdr:cNvPr id="4115" name="Check Box 19" descr="Flergånghandskar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5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 aktuellt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2</xdr:col>
          <xdr:colOff>1670050</xdr:colOff>
          <xdr:row>16</xdr:row>
          <xdr:rowOff>19050</xdr:rowOff>
        </xdr:to>
        <xdr:sp macro="" textlink="">
          <xdr:nvSpPr>
            <xdr:cNvPr id="4119" name="Check Box 23" descr="Flergånghandskar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5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 aktuellt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2</xdr:col>
          <xdr:colOff>1670050</xdr:colOff>
          <xdr:row>17</xdr:row>
          <xdr:rowOff>19050</xdr:rowOff>
        </xdr:to>
        <xdr:sp macro="" textlink="">
          <xdr:nvSpPr>
            <xdr:cNvPr id="4121" name="Check Box 25" descr="Flergånghandskar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5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Preparatpåfyllare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2</xdr:col>
          <xdr:colOff>1670050</xdr:colOff>
          <xdr:row>18</xdr:row>
          <xdr:rowOff>19050</xdr:rowOff>
        </xdr:to>
        <xdr:sp macro="" textlink="">
          <xdr:nvSpPr>
            <xdr:cNvPr id="4122" name="Check Box 26" descr="Flergånghandskar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5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Sköljvatten tank för inre rengöring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1670050</xdr:colOff>
          <xdr:row>19</xdr:row>
          <xdr:rowOff>19050</xdr:rowOff>
        </xdr:to>
        <xdr:sp macro="" textlink="">
          <xdr:nvSpPr>
            <xdr:cNvPr id="4124" name="Check Box 28" descr="Flergånghandskar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5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Mätglas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1670050</xdr:colOff>
          <xdr:row>20</xdr:row>
          <xdr:rowOff>19050</xdr:rowOff>
        </xdr:to>
        <xdr:sp macro="" textlink="">
          <xdr:nvSpPr>
            <xdr:cNvPr id="4125" name="Check Box 29" descr="Flergånghandskar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5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Tanksköljmunstycke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2</xdr:col>
          <xdr:colOff>1670050</xdr:colOff>
          <xdr:row>21</xdr:row>
          <xdr:rowOff>19050</xdr:rowOff>
        </xdr:to>
        <xdr:sp macro="" textlink="">
          <xdr:nvSpPr>
            <xdr:cNvPr id="4127" name="Check Box 31" descr="Flergånghandskar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5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Diskprogram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2</xdr:col>
          <xdr:colOff>1670050</xdr:colOff>
          <xdr:row>22</xdr:row>
          <xdr:rowOff>19050</xdr:rowOff>
        </xdr:to>
        <xdr:sp macro="" textlink="">
          <xdr:nvSpPr>
            <xdr:cNvPr id="4129" name="Check Box 33" descr="Flergånghandskar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5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Elektronisk flödesmätare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2</xdr:col>
          <xdr:colOff>1670050</xdr:colOff>
          <xdr:row>23</xdr:row>
          <xdr:rowOff>19050</xdr:rowOff>
        </xdr:to>
        <xdr:sp macro="" textlink="">
          <xdr:nvSpPr>
            <xdr:cNvPr id="4130" name="Check Box 34" descr="Flergånghandskar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5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Dunkdiskmunstycke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2</xdr:col>
          <xdr:colOff>1670050</xdr:colOff>
          <xdr:row>24</xdr:row>
          <xdr:rowOff>19050</xdr:rowOff>
        </xdr:to>
        <xdr:sp macro="" textlink="">
          <xdr:nvSpPr>
            <xdr:cNvPr id="4131" name="Check Box 35" descr="Flergånghandskar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5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Closed Transfer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1670050</xdr:colOff>
          <xdr:row>25</xdr:row>
          <xdr:rowOff>19050</xdr:rowOff>
        </xdr:to>
        <xdr:sp macro="" textlink="">
          <xdr:nvSpPr>
            <xdr:cNvPr id="4132" name="Check Box 36" descr="Flergånghandskar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5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Vet 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1670050</xdr:colOff>
          <xdr:row>27</xdr:row>
          <xdr:rowOff>19050</xdr:rowOff>
        </xdr:to>
        <xdr:sp macro="" textlink="">
          <xdr:nvSpPr>
            <xdr:cNvPr id="4133" name="Check Box 37" descr="Flergånghandskar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5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 aktuellt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1670050</xdr:colOff>
          <xdr:row>37</xdr:row>
          <xdr:rowOff>19050</xdr:rowOff>
        </xdr:to>
        <xdr:sp macro="" textlink="">
          <xdr:nvSpPr>
            <xdr:cNvPr id="4135" name="Check Box 39" descr="Flergånghandskar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5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 aktuellt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2</xdr:col>
          <xdr:colOff>2609850</xdr:colOff>
          <xdr:row>27</xdr:row>
          <xdr:rowOff>171450</xdr:rowOff>
        </xdr:to>
        <xdr:sp macro="" textlink="">
          <xdr:nvSpPr>
            <xdr:cNvPr id="4136" name="Check Box 40" descr="Flergånghandskar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5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Broschyr "Hjälpredan för anpassat skyddsavstånd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2</xdr:col>
          <xdr:colOff>2419350</xdr:colOff>
          <xdr:row>28</xdr:row>
          <xdr:rowOff>165100</xdr:rowOff>
        </xdr:to>
        <xdr:sp macro="" textlink="">
          <xdr:nvSpPr>
            <xdr:cNvPr id="4137" name="Check Box 41" descr="Flergånghandskar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5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App "Hjälpredan för anpassat skyddsavstånd"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2</xdr:col>
          <xdr:colOff>1670050</xdr:colOff>
          <xdr:row>30</xdr:row>
          <xdr:rowOff>19050</xdr:rowOff>
        </xdr:to>
        <xdr:sp macro="" textlink="">
          <xdr:nvSpPr>
            <xdr:cNvPr id="4138" name="Check Box 42" descr="Flergånghandskar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5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Vindmätare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</xdr:col>
          <xdr:colOff>1670050</xdr:colOff>
          <xdr:row>31</xdr:row>
          <xdr:rowOff>19050</xdr:rowOff>
        </xdr:to>
        <xdr:sp macro="" textlink="">
          <xdr:nvSpPr>
            <xdr:cNvPr id="4140" name="Check Box 44" descr="Flergånghandskar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5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Termometer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2362200</xdr:colOff>
          <xdr:row>31</xdr:row>
          <xdr:rowOff>152400</xdr:rowOff>
        </xdr:to>
        <xdr:sp macro="" textlink="">
          <xdr:nvSpPr>
            <xdr:cNvPr id="4142" name="Check Box 46" descr="Flergånghandskar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5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Vindriktningsvisare (flöjel, vimpel eller likande)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2</xdr:col>
          <xdr:colOff>1670050</xdr:colOff>
          <xdr:row>33</xdr:row>
          <xdr:rowOff>19050</xdr:rowOff>
        </xdr:to>
        <xdr:sp macro="" textlink="">
          <xdr:nvSpPr>
            <xdr:cNvPr id="4143" name="Check Box 47" descr="Flergånghandskar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5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 alls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1670050</xdr:colOff>
          <xdr:row>34</xdr:row>
          <xdr:rowOff>19050</xdr:rowOff>
        </xdr:to>
        <xdr:sp macro="" textlink="">
          <xdr:nvSpPr>
            <xdr:cNvPr id="4144" name="Check Box 48" descr="Flergånghandskar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5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Har ingen uppfattning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2</xdr:col>
          <xdr:colOff>1670050</xdr:colOff>
          <xdr:row>35</xdr:row>
          <xdr:rowOff>19050</xdr:rowOff>
        </xdr:to>
        <xdr:sp macro="" textlink="">
          <xdr:nvSpPr>
            <xdr:cNvPr id="4145" name="Check Box 49" descr="Flergånghandskar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5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Annat sätt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2533650</xdr:colOff>
          <xdr:row>38</xdr:row>
          <xdr:rowOff>50800</xdr:rowOff>
        </xdr:to>
        <xdr:sp macro="" textlink="">
          <xdr:nvSpPr>
            <xdr:cNvPr id="4146" name="Check Box 50" descr="Flergånghandskar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5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Spalt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2</xdr:col>
          <xdr:colOff>2533650</xdr:colOff>
          <xdr:row>39</xdr:row>
          <xdr:rowOff>50800</xdr:rowOff>
        </xdr:to>
        <xdr:sp macro="" textlink="">
          <xdr:nvSpPr>
            <xdr:cNvPr id="4148" name="Check Box 52" descr="Flergånghandskar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5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Low drift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2</xdr:col>
          <xdr:colOff>1670050</xdr:colOff>
          <xdr:row>40</xdr:row>
          <xdr:rowOff>19050</xdr:rowOff>
        </xdr:to>
        <xdr:sp macro="" textlink="">
          <xdr:nvSpPr>
            <xdr:cNvPr id="4149" name="Check Box 53" descr="Flergånghandskar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5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Duo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2</xdr:col>
          <xdr:colOff>1670050</xdr:colOff>
          <xdr:row>41</xdr:row>
          <xdr:rowOff>19050</xdr:rowOff>
        </xdr:to>
        <xdr:sp macro="" textlink="">
          <xdr:nvSpPr>
            <xdr:cNvPr id="4150" name="Check Box 54" descr="Flergånghandskar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5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Vinklat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2</xdr:col>
          <xdr:colOff>1670050</xdr:colOff>
          <xdr:row>42</xdr:row>
          <xdr:rowOff>19050</xdr:rowOff>
        </xdr:to>
        <xdr:sp macro="" textlink="">
          <xdr:nvSpPr>
            <xdr:cNvPr id="4151" name="Check Box 55" descr="Flergånghandskar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5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Vindriktningsvisare (flöjel, vimpel eller liknande)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2</xdr:col>
          <xdr:colOff>1670050</xdr:colOff>
          <xdr:row>43</xdr:row>
          <xdr:rowOff>19050</xdr:rowOff>
        </xdr:to>
        <xdr:sp macro="" textlink="">
          <xdr:nvSpPr>
            <xdr:cNvPr id="4153" name="Check Box 57" descr="Flergånghandskar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5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Luftassisterat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2</xdr:col>
          <xdr:colOff>1670050</xdr:colOff>
          <xdr:row>44</xdr:row>
          <xdr:rowOff>19050</xdr:rowOff>
        </xdr:to>
        <xdr:sp macro="" textlink="">
          <xdr:nvSpPr>
            <xdr:cNvPr id="4154" name="Check Box 58" descr="Flergånghandskar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5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Virvelkammare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0</xdr:rowOff>
        </xdr:from>
        <xdr:to>
          <xdr:col>2</xdr:col>
          <xdr:colOff>1670050</xdr:colOff>
          <xdr:row>45</xdr:row>
          <xdr:rowOff>19050</xdr:rowOff>
        </xdr:to>
        <xdr:sp macro="" textlink="">
          <xdr:nvSpPr>
            <xdr:cNvPr id="4155" name="Check Box 59" descr="Flergånghandskar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5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Vet ej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0</xdr:rowOff>
        </xdr:from>
        <xdr:to>
          <xdr:col>2</xdr:col>
          <xdr:colOff>1670050</xdr:colOff>
          <xdr:row>46</xdr:row>
          <xdr:rowOff>19050</xdr:rowOff>
        </xdr:to>
        <xdr:sp macro="" textlink="">
          <xdr:nvSpPr>
            <xdr:cNvPr id="4157" name="Check Box 61" descr="Flergånghandskar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5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Annat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1670050</xdr:colOff>
          <xdr:row>14</xdr:row>
          <xdr:rowOff>19050</xdr:rowOff>
        </xdr:to>
        <xdr:sp macro="" textlink="">
          <xdr:nvSpPr>
            <xdr:cNvPr id="4160" name="Check Box 64" descr="Flergånghandskar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5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Inget skydd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</xdr:col>
          <xdr:colOff>1670050</xdr:colOff>
          <xdr:row>13</xdr:row>
          <xdr:rowOff>19050</xdr:rowOff>
        </xdr:to>
        <xdr:sp macro="" textlink="">
          <xdr:nvSpPr>
            <xdr:cNvPr id="4161" name="Check Box 65" descr="Flergånghandskar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5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Gummistövlar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</xdr:col>
          <xdr:colOff>1670050</xdr:colOff>
          <xdr:row>12</xdr:row>
          <xdr:rowOff>19050</xdr:rowOff>
        </xdr:to>
        <xdr:sp macro="" textlink="">
          <xdr:nvSpPr>
            <xdr:cNvPr id="4163" name="Check Box 67" descr="Flergånghandskar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5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Overall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1670050</xdr:colOff>
          <xdr:row>11</xdr:row>
          <xdr:rowOff>19050</xdr:rowOff>
        </xdr:to>
        <xdr:sp macro="" textlink="">
          <xdr:nvSpPr>
            <xdr:cNvPr id="4164" name="Check Box 68" descr="Flergånghandskar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5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Förkläde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1670050</xdr:colOff>
          <xdr:row>10</xdr:row>
          <xdr:rowOff>19050</xdr:rowOff>
        </xdr:to>
        <xdr:sp macro="" textlink="">
          <xdr:nvSpPr>
            <xdr:cNvPr id="4165" name="Check Box 69" descr="Flergånghandskar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5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Andningsskydd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1670050</xdr:colOff>
          <xdr:row>9</xdr:row>
          <xdr:rowOff>19050</xdr:rowOff>
        </xdr:to>
        <xdr:sp macro="" textlink="">
          <xdr:nvSpPr>
            <xdr:cNvPr id="4167" name="Check Box 71" descr="Flergånghandskar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5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Ansiktsskydd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2</xdr:col>
          <xdr:colOff>1670050</xdr:colOff>
          <xdr:row>8</xdr:row>
          <xdr:rowOff>19050</xdr:rowOff>
        </xdr:to>
        <xdr:sp macro="" textlink="">
          <xdr:nvSpPr>
            <xdr:cNvPr id="4169" name="Check Box 73" descr="Flergånghandskar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5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Flergångshandskar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1670050</xdr:colOff>
          <xdr:row>7</xdr:row>
          <xdr:rowOff>19050</xdr:rowOff>
        </xdr:to>
        <xdr:sp macro="" textlink="">
          <xdr:nvSpPr>
            <xdr:cNvPr id="4171" name="Check Box 75" descr="Flergånghandskar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5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Engångshandskar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335280</xdr:colOff>
      <xdr:row>0</xdr:row>
      <xdr:rowOff>121920</xdr:rowOff>
    </xdr:from>
    <xdr:to>
      <xdr:col>15</xdr:col>
      <xdr:colOff>182880</xdr:colOff>
      <xdr:row>30</xdr:row>
      <xdr:rowOff>40005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Jordbruksverket">
  <a:themeElements>
    <a:clrScheme name="Greppa näring, 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4165"/>
      </a:accent1>
      <a:accent2>
        <a:srgbClr val="0083BE"/>
      </a:accent2>
      <a:accent3>
        <a:srgbClr val="DC5034"/>
      </a:accent3>
      <a:accent4>
        <a:srgbClr val="00B299"/>
      </a:accent4>
      <a:accent5>
        <a:srgbClr val="668013"/>
      </a:accent5>
      <a:accent6>
        <a:srgbClr val="BCA600"/>
      </a:accent6>
      <a:hlink>
        <a:srgbClr val="0563C1"/>
      </a:hlink>
      <a:folHlink>
        <a:srgbClr val="954F72"/>
      </a:folHlink>
    </a:clrScheme>
    <a:fontScheme name="Greppa näring, Jordbruksverk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2.jordbruksverket.se/download/18.4111fecc184eee0622a22612/1670486816823/jo22_13.pdf" TargetMode="External"/><Relationship Id="rId1" Type="http://schemas.openxmlformats.org/officeDocument/2006/relationships/hyperlink" Target="https://www2.jordbruksverket.se/download/18.4111fecc184eee0622a22612/1670486816823/jo22_13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workbookViewId="0">
      <selection activeCell="C14" sqref="C14"/>
    </sheetView>
  </sheetViews>
  <sheetFormatPr defaultColWidth="8.75" defaultRowHeight="12.5" x14ac:dyDescent="0.25"/>
  <cols>
    <col min="1" max="1" width="3" style="1" customWidth="1"/>
    <col min="2" max="2" width="37.25" style="1" customWidth="1"/>
    <col min="3" max="3" width="28.83203125" style="1" customWidth="1"/>
    <col min="4" max="10" width="8.75" style="1"/>
    <col min="11" max="11" width="2.5" style="1" customWidth="1"/>
    <col min="12" max="16384" width="8.75" style="1"/>
  </cols>
  <sheetData>
    <row r="1" spans="1:4" x14ac:dyDescent="0.25">
      <c r="A1" s="10"/>
      <c r="B1" s="15"/>
      <c r="C1" s="15"/>
      <c r="D1" s="15"/>
    </row>
    <row r="2" spans="1:4" ht="18" x14ac:dyDescent="0.4">
      <c r="A2" s="10"/>
      <c r="B2" s="38" t="s">
        <v>108</v>
      </c>
      <c r="C2" s="15"/>
      <c r="D2" s="15"/>
    </row>
    <row r="3" spans="1:4" ht="17.5" x14ac:dyDescent="0.35">
      <c r="A3" s="10"/>
      <c r="B3" s="81"/>
      <c r="C3" s="15"/>
      <c r="D3" s="15"/>
    </row>
    <row r="4" spans="1:4" ht="18" x14ac:dyDescent="0.4">
      <c r="A4" s="10"/>
      <c r="B4" s="38" t="s">
        <v>483</v>
      </c>
      <c r="C4" s="15"/>
      <c r="D4" s="15"/>
    </row>
    <row r="5" spans="1:4" ht="13.15" customHeight="1" x14ac:dyDescent="0.3">
      <c r="A5" s="10"/>
      <c r="B5" s="14" t="s">
        <v>109</v>
      </c>
      <c r="C5" s="15"/>
      <c r="D5" s="14"/>
    </row>
    <row r="6" spans="1:4" ht="13.15" customHeight="1" x14ac:dyDescent="0.3">
      <c r="A6" s="10"/>
      <c r="B6" s="14" t="s">
        <v>251</v>
      </c>
      <c r="C6" s="15"/>
      <c r="D6" s="14"/>
    </row>
    <row r="7" spans="1:4" ht="13.15" customHeight="1" x14ac:dyDescent="0.3">
      <c r="A7" s="10"/>
      <c r="B7" s="14" t="s">
        <v>23</v>
      </c>
      <c r="C7" s="15"/>
      <c r="D7" s="14"/>
    </row>
    <row r="8" spans="1:4" ht="13.15" customHeight="1" x14ac:dyDescent="0.3">
      <c r="A8" s="10"/>
      <c r="B8" s="14" t="s">
        <v>22</v>
      </c>
      <c r="C8" s="15"/>
      <c r="D8" s="14"/>
    </row>
    <row r="9" spans="1:4" ht="13.15" customHeight="1" x14ac:dyDescent="0.3">
      <c r="A9" s="10"/>
      <c r="B9" s="14" t="s">
        <v>41</v>
      </c>
      <c r="C9" s="15"/>
      <c r="D9" s="14"/>
    </row>
    <row r="10" spans="1:4" ht="13.15" customHeight="1" x14ac:dyDescent="0.3">
      <c r="A10" s="10"/>
      <c r="B10" s="14" t="s">
        <v>42</v>
      </c>
      <c r="C10" s="15"/>
      <c r="D10" s="14"/>
    </row>
    <row r="11" spans="1:4" ht="13.15" customHeight="1" x14ac:dyDescent="0.25">
      <c r="A11" s="10"/>
      <c r="B11" s="15"/>
      <c r="C11" s="15"/>
      <c r="D11" s="15"/>
    </row>
    <row r="12" spans="1:4" ht="13.15" customHeight="1" x14ac:dyDescent="0.3">
      <c r="A12" s="10"/>
      <c r="B12" s="167" t="s">
        <v>247</v>
      </c>
      <c r="C12" s="10"/>
      <c r="D12" s="10"/>
    </row>
    <row r="13" spans="1:4" ht="13.15" customHeight="1" x14ac:dyDescent="0.3">
      <c r="A13" s="10"/>
      <c r="B13" s="15"/>
      <c r="C13" s="15"/>
      <c r="D13" s="14"/>
    </row>
    <row r="14" spans="1:4" ht="13.15" customHeight="1" x14ac:dyDescent="0.3">
      <c r="A14" s="10"/>
      <c r="B14" s="15" t="s">
        <v>172</v>
      </c>
      <c r="C14" s="144"/>
      <c r="D14" s="14"/>
    </row>
    <row r="15" spans="1:4" ht="13.15" customHeight="1" x14ac:dyDescent="0.3">
      <c r="A15" s="10"/>
      <c r="B15" s="15" t="s">
        <v>359</v>
      </c>
      <c r="C15" s="144"/>
      <c r="D15" s="14"/>
    </row>
    <row r="16" spans="1:4" ht="13.15" customHeight="1" x14ac:dyDescent="0.3">
      <c r="A16" s="10"/>
      <c r="B16" s="15" t="s">
        <v>360</v>
      </c>
      <c r="C16" s="144"/>
      <c r="D16" s="14"/>
    </row>
    <row r="17" spans="1:4" ht="13.15" customHeight="1" x14ac:dyDescent="0.3">
      <c r="A17" s="10"/>
      <c r="B17" s="15"/>
      <c r="C17" s="15"/>
      <c r="D17" s="14"/>
    </row>
    <row r="18" spans="1:4" ht="13.15" customHeight="1" x14ac:dyDescent="0.25"/>
  </sheetData>
  <hyperlinks>
    <hyperlink ref="B5" location="Övergödning!A1" display="Övergödning" xr:uid="{00000000-0004-0000-0000-000000000000}"/>
    <hyperlink ref="B6" location="Bördighet!A1" display="Bördighet" xr:uid="{00000000-0004-0000-0000-000001000000}"/>
    <hyperlink ref="B7" location="Växtskydd!A1" display="Växtskydd" xr:uid="{00000000-0004-0000-0000-000002000000}"/>
    <hyperlink ref="B8" location="'Biologisk mångfald'!A1" display="Biologisk mångfald" xr:uid="{00000000-0004-0000-0000-000003000000}"/>
    <hyperlink ref="B9" location="'Klimat och Energi'!A1" display="Klimat och energi" xr:uid="{00000000-0004-0000-0000-000004000000}"/>
    <hyperlink ref="B10" location="'Klimat och Energi'!A16" display="Energi" xr:uid="{7FED705A-EA58-4680-BE06-6A6748B60493}"/>
    <hyperlink ref="B12" location="Resultattabell!A1" display="Resultattabell" xr:uid="{961375CD-27B5-4672-9386-15475B1167EC}"/>
  </hyperlinks>
  <pageMargins left="0.7" right="0.7" top="1.3571428571428572" bottom="0.75" header="0.3" footer="0.3"/>
  <pageSetup paperSize="9" orientation="portrait" r:id="rId1"/>
  <headerFooter>
    <oddHeader>&amp;L&amp;G&amp;R&amp;G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7DA285B-D913-4993-8CD1-676C618201C1}">
          <x14:formula1>
            <xm:f>Tabeller!$A$7:$A$21</xm:f>
          </x14:formula1>
          <xm:sqref>C14</xm:sqref>
        </x14:dataValidation>
        <x14:dataValidation type="list" allowBlank="1" showInputMessage="1" showErrorMessage="1" xr:uid="{51F1E576-20DD-43D4-8C9D-35ED1C4A7B53}">
          <x14:formula1>
            <xm:f>Tabeller!$A$308:$A$328</xm:f>
          </x14:formula1>
          <xm:sqref>C15</xm:sqref>
        </x14:dataValidation>
        <x14:dataValidation type="list" allowBlank="1" showInputMessage="1" showErrorMessage="1" xr:uid="{258094C4-EEA1-406D-8EC2-8EC896C01F9B}">
          <x14:formula1>
            <xm:f>Tabeller!$A$334:$A$336</xm:f>
          </x14:formula1>
          <xm:sqref>C16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ED1CC-AC9B-4AFA-9B5C-B8FA8C300B20}">
  <dimension ref="A1:D46"/>
  <sheetViews>
    <sheetView topLeftCell="A22" workbookViewId="0">
      <selection activeCell="A43" sqref="A43"/>
    </sheetView>
  </sheetViews>
  <sheetFormatPr defaultColWidth="8.58203125" defaultRowHeight="12.5" x14ac:dyDescent="0.25"/>
  <cols>
    <col min="1" max="1" width="35.75" style="1" customWidth="1"/>
    <col min="2" max="2" width="11.08203125" style="1" customWidth="1"/>
    <col min="3" max="3" width="9.58203125" style="1" customWidth="1"/>
    <col min="4" max="16384" width="8.58203125" style="1"/>
  </cols>
  <sheetData>
    <row r="1" spans="1:4" ht="14" x14ac:dyDescent="0.3">
      <c r="A1"/>
    </row>
    <row r="3" spans="1:4" ht="30" customHeight="1" x14ac:dyDescent="0.4">
      <c r="A3" s="91" t="s">
        <v>132</v>
      </c>
      <c r="B3" s="102" t="s">
        <v>155</v>
      </c>
      <c r="C3" s="102" t="s">
        <v>154</v>
      </c>
      <c r="D3" s="5"/>
    </row>
    <row r="4" spans="1:4" ht="13" x14ac:dyDescent="0.3">
      <c r="A4" s="92" t="s">
        <v>109</v>
      </c>
      <c r="B4" s="93"/>
      <c r="C4" s="93"/>
      <c r="D4" s="6"/>
    </row>
    <row r="5" spans="1:4" x14ac:dyDescent="0.25">
      <c r="A5" s="94" t="s">
        <v>133</v>
      </c>
      <c r="B5" s="201" t="str">
        <f>IF(C5="","",IF(Inriktning="","",IF(Inriktning="Annan","",VLOOKUP(Inriktning,Tabellen,8,FALSE))))</f>
        <v/>
      </c>
      <c r="C5" s="93" t="str">
        <f>IF(Övergödning!B5="","",Övergödning!B5)</f>
        <v/>
      </c>
      <c r="D5" s="95" t="str">
        <f>IF(Övergödning!C5="","",Övergödning!C5)</f>
        <v/>
      </c>
    </row>
    <row r="6" spans="1:4" x14ac:dyDescent="0.25">
      <c r="A6" s="94" t="s">
        <v>134</v>
      </c>
      <c r="B6" s="201" t="str">
        <f>IF(Övergödning!B7="","",Tabeller!C63)</f>
        <v/>
      </c>
      <c r="C6" s="93" t="str">
        <f>IF(Övergödning!B9="","",Övergödning!B9)</f>
        <v/>
      </c>
      <c r="D6" s="95" t="str">
        <f>IF(Övergödning!C9="","",Övergödning!C9)</f>
        <v/>
      </c>
    </row>
    <row r="7" spans="1:4" x14ac:dyDescent="0.25">
      <c r="A7" s="94" t="s">
        <v>38</v>
      </c>
      <c r="B7" s="98" t="str">
        <f>IF(C7="","",Tabeller!B340)</f>
        <v/>
      </c>
      <c r="C7" s="96" t="str">
        <f>Tabeller!B344</f>
        <v/>
      </c>
      <c r="D7" s="95" t="str">
        <f>IF(Övergödning!C11="","",Övergödning!C11)</f>
        <v/>
      </c>
    </row>
    <row r="8" spans="1:4" x14ac:dyDescent="0.25">
      <c r="A8" s="94" t="s">
        <v>249</v>
      </c>
      <c r="B8" s="98" t="str">
        <f>IF(Inriktning="Annan","",IF(Övergödning!B14="","",VLOOKUP(Inriktning,Tabellen,13,FALSE)))</f>
        <v/>
      </c>
      <c r="C8" s="93" t="str">
        <f>IF(Övergödning!B14="","",Övergödning!B14)</f>
        <v/>
      </c>
      <c r="D8" s="95" t="str">
        <f>IF(Övergödning!C14="","",Övergödning!C14)</f>
        <v/>
      </c>
    </row>
    <row r="9" spans="1:4" x14ac:dyDescent="0.25">
      <c r="A9" s="94" t="s">
        <v>135</v>
      </c>
      <c r="B9" s="98" t="str">
        <f>IF(C9="","",Ammoniaktabell!C75)</f>
        <v/>
      </c>
      <c r="C9" s="104" t="str">
        <f>IF(Övergödning!B17="","",Övergödning!B17)</f>
        <v/>
      </c>
      <c r="D9" s="95" t="str">
        <f>IF(Övergödning!C17="","",Övergödning!C17)</f>
        <v/>
      </c>
    </row>
    <row r="10" spans="1:4" x14ac:dyDescent="0.25">
      <c r="A10" s="94" t="s">
        <v>136</v>
      </c>
      <c r="B10" s="98"/>
      <c r="C10" s="97" t="str">
        <f>IFERROR(Övergödning!B20/Övergödning!B19,"")</f>
        <v/>
      </c>
      <c r="D10" s="95" t="str">
        <f>IF(Övergödning!C20="","",Övergödning!C20)</f>
        <v/>
      </c>
    </row>
    <row r="11" spans="1:4" x14ac:dyDescent="0.25">
      <c r="A11" s="94" t="s">
        <v>137</v>
      </c>
      <c r="B11" s="98"/>
      <c r="C11" s="97" t="str">
        <f>_xlfn.IFNA(Tabeller!E75,"")</f>
        <v/>
      </c>
      <c r="D11" s="95" t="str">
        <f>_xlfn.IFNA(Tabeller!E77,"")</f>
        <v/>
      </c>
    </row>
    <row r="12" spans="1:4" x14ac:dyDescent="0.25">
      <c r="A12" s="94"/>
      <c r="B12" s="98"/>
      <c r="C12" s="93"/>
      <c r="D12" s="95"/>
    </row>
    <row r="13" spans="1:4" ht="13" x14ac:dyDescent="0.3">
      <c r="A13" s="92" t="s">
        <v>251</v>
      </c>
      <c r="B13" s="98"/>
      <c r="C13" s="93"/>
      <c r="D13" s="95"/>
    </row>
    <row r="14" spans="1:4" x14ac:dyDescent="0.25">
      <c r="A14" s="94" t="s">
        <v>332</v>
      </c>
      <c r="B14" s="98"/>
      <c r="C14" s="97" t="str">
        <f>Markhälsa!D31</f>
        <v/>
      </c>
      <c r="D14" s="95" t="str">
        <f>IF(Markhälsa!E31="","",Markhälsa!E31)</f>
        <v/>
      </c>
    </row>
    <row r="15" spans="1:4" x14ac:dyDescent="0.25">
      <c r="A15" s="94"/>
      <c r="B15" s="98"/>
      <c r="C15" s="93"/>
      <c r="D15" s="95"/>
    </row>
    <row r="16" spans="1:4" ht="13" x14ac:dyDescent="0.3">
      <c r="A16" s="92" t="s">
        <v>23</v>
      </c>
      <c r="B16" s="98"/>
      <c r="C16" s="93"/>
      <c r="D16" s="95"/>
    </row>
    <row r="17" spans="1:4" x14ac:dyDescent="0.25">
      <c r="A17" s="94" t="s">
        <v>138</v>
      </c>
      <c r="B17" s="98"/>
      <c r="C17" s="93"/>
      <c r="D17" s="95"/>
    </row>
    <row r="18" spans="1:4" x14ac:dyDescent="0.25">
      <c r="A18" s="94" t="s">
        <v>140</v>
      </c>
      <c r="B18" s="98"/>
      <c r="C18" s="97" t="str">
        <f>Växtskydd!O5</f>
        <v/>
      </c>
      <c r="D18" s="95" t="str">
        <f>Växtskydd!P5</f>
        <v/>
      </c>
    </row>
    <row r="19" spans="1:4" x14ac:dyDescent="0.25">
      <c r="A19" s="94" t="s">
        <v>139</v>
      </c>
      <c r="B19" s="98"/>
      <c r="C19" s="97" t="str">
        <f>IFERROR(IF(Växtskydd!J50="Ja","",Växtskydd!I53),"")</f>
        <v/>
      </c>
      <c r="D19" s="95" t="str">
        <f>IF(C19="","",IF(Växtskydd!J53="","",Växtskydd!J53))</f>
        <v/>
      </c>
    </row>
    <row r="20" spans="1:4" x14ac:dyDescent="0.25">
      <c r="A20" s="94" t="s">
        <v>141</v>
      </c>
      <c r="B20" s="98"/>
      <c r="C20" s="97" t="str">
        <f>IFERROR(IF(Växtskydd!J56="Ja","",Växtskydd!I59),"")</f>
        <v/>
      </c>
      <c r="D20" s="95" t="str">
        <f>IF(C20="","",IF(Växtskydd!J59="","",Växtskydd!J59))</f>
        <v/>
      </c>
    </row>
    <row r="21" spans="1:4" x14ac:dyDescent="0.25">
      <c r="A21" s="94" t="s">
        <v>142</v>
      </c>
      <c r="B21" s="98"/>
      <c r="C21" s="97" t="str">
        <f>IFERROR(IF(Växtskydd!J61="Ja","",Växtskydd!I64),"")</f>
        <v/>
      </c>
      <c r="D21" s="95" t="str">
        <f>IF(C21="","",IF(Växtskydd!J64="","",Växtskydd!J64))</f>
        <v/>
      </c>
    </row>
    <row r="22" spans="1:4" x14ac:dyDescent="0.25">
      <c r="A22" s="94" t="s">
        <v>143</v>
      </c>
      <c r="B22" s="98"/>
      <c r="C22" s="97" t="str">
        <f>IFERROR(IF(Växtskydd!J67="Ja","",Växtskydd!I70),"")</f>
        <v/>
      </c>
      <c r="D22" s="95" t="str">
        <f>IF(C22="","",IF(Växtskydd!J70="","",Växtskydd!J70))</f>
        <v/>
      </c>
    </row>
    <row r="23" spans="1:4" x14ac:dyDescent="0.25">
      <c r="A23" s="94"/>
      <c r="B23" s="98"/>
      <c r="C23" s="93"/>
      <c r="D23" s="95"/>
    </row>
    <row r="24" spans="1:4" ht="13" x14ac:dyDescent="0.3">
      <c r="A24" s="92" t="s">
        <v>22</v>
      </c>
      <c r="B24" s="98"/>
      <c r="C24" s="93"/>
      <c r="D24" s="95"/>
    </row>
    <row r="25" spans="1:4" x14ac:dyDescent="0.25">
      <c r="A25" s="94" t="s">
        <v>138</v>
      </c>
      <c r="B25" s="98"/>
      <c r="C25" s="93"/>
      <c r="D25" s="95"/>
    </row>
    <row r="26" spans="1:4" x14ac:dyDescent="0.25">
      <c r="A26" s="94" t="s">
        <v>144</v>
      </c>
      <c r="B26" s="98"/>
      <c r="C26" s="97" t="str">
        <f>'Biologisk mångfald'!G5</f>
        <v/>
      </c>
      <c r="D26" s="95" t="str">
        <f>IF(Tabeller!C$120="Ja","",IF('Biologisk mångfald'!H5="","",'Biologisk mångfald'!H5))</f>
        <v/>
      </c>
    </row>
    <row r="27" spans="1:4" x14ac:dyDescent="0.25">
      <c r="A27" s="94" t="s">
        <v>145</v>
      </c>
      <c r="B27" s="98"/>
      <c r="C27" s="97" t="str">
        <f>'Biologisk mångfald'!G6</f>
        <v/>
      </c>
      <c r="D27" s="95" t="str">
        <f>IF(Tabeller!C$120="Ja","",IF('Biologisk mångfald'!H6="","",'Biologisk mångfald'!H6))</f>
        <v/>
      </c>
    </row>
    <row r="28" spans="1:4" x14ac:dyDescent="0.25">
      <c r="A28" s="94" t="s">
        <v>146</v>
      </c>
      <c r="B28" s="98"/>
      <c r="C28" s="97" t="str">
        <f>'Biologisk mångfald'!G7</f>
        <v/>
      </c>
      <c r="D28" s="95" t="str">
        <f>IF(Tabeller!C$120="Ja","",IF('Biologisk mångfald'!H7="","",'Biologisk mångfald'!H7))</f>
        <v/>
      </c>
    </row>
    <row r="29" spans="1:4" x14ac:dyDescent="0.25">
      <c r="A29" s="94" t="s">
        <v>147</v>
      </c>
      <c r="B29" s="98"/>
      <c r="C29" s="97" t="str">
        <f>'Biologisk mångfald'!G8</f>
        <v/>
      </c>
      <c r="D29" s="95" t="str">
        <f>IF(Tabeller!C$120="Ja","",IF('Biologisk mångfald'!H8="","",'Biologisk mångfald'!H8))</f>
        <v/>
      </c>
    </row>
    <row r="30" spans="1:4" x14ac:dyDescent="0.25">
      <c r="A30" s="94" t="s">
        <v>352</v>
      </c>
      <c r="B30" s="98"/>
      <c r="C30" s="97" t="str">
        <f>'Biologisk mångfald'!G10</f>
        <v/>
      </c>
      <c r="D30" s="95" t="str">
        <f>IF(Tabeller!C$121="Ja","",IF('Biologisk mångfald'!H10="","",'Biologisk mångfald'!H10))</f>
        <v/>
      </c>
    </row>
    <row r="31" spans="1:4" x14ac:dyDescent="0.25">
      <c r="A31" s="94"/>
      <c r="B31" s="93"/>
      <c r="C31" s="93"/>
      <c r="D31" s="95"/>
    </row>
    <row r="32" spans="1:4" ht="13" x14ac:dyDescent="0.3">
      <c r="A32" s="92" t="s">
        <v>41</v>
      </c>
      <c r="B32" s="93"/>
      <c r="C32" s="93"/>
      <c r="D32" s="95"/>
    </row>
    <row r="33" spans="1:4" x14ac:dyDescent="0.25">
      <c r="A33" s="94" t="s">
        <v>148</v>
      </c>
      <c r="B33" s="98"/>
      <c r="C33" s="93" t="str">
        <f>IF('Klimat och Energi'!D6="","",'Klimat och Energi'!D6)</f>
        <v/>
      </c>
      <c r="D33" s="95"/>
    </row>
    <row r="34" spans="1:4" x14ac:dyDescent="0.25">
      <c r="A34" s="94" t="s">
        <v>149</v>
      </c>
      <c r="B34" s="98"/>
      <c r="C34" s="93"/>
      <c r="D34" s="95"/>
    </row>
    <row r="35" spans="1:4" x14ac:dyDescent="0.25">
      <c r="A35" s="94" t="str">
        <f>CONCATENATE(" -  ",'Klimat och Energi'!B7)</f>
        <v xml:space="preserve"> -  Klimatavtryck per kg mjölk</v>
      </c>
      <c r="B35" s="198" t="str">
        <f>IF(C35="","",IF(Inriktning="","",VLOOKUP(Inriktning,Tabellen,14,FALSE)))</f>
        <v/>
      </c>
      <c r="C35" s="104" t="str">
        <f>IF('Klimat och Energi'!D7="","",'Klimat och Energi'!D7)</f>
        <v/>
      </c>
      <c r="D35" s="95" t="str">
        <f>'Klimat och Energi'!E7</f>
        <v/>
      </c>
    </row>
    <row r="36" spans="1:4" x14ac:dyDescent="0.25">
      <c r="A36" s="94" t="str">
        <f>CONCATENATE(" -  ",'Klimat och Energi'!B8)</f>
        <v xml:space="preserve"> -  Klimatavtryck per kg levande vikt (från Vera)</v>
      </c>
      <c r="B36" s="198" t="str">
        <f>IF(C36="","",IF(Inriktning="","",VLOOKUP(Inriktning,Tabellen,14,FALSE)))</f>
        <v/>
      </c>
      <c r="C36" s="104" t="str">
        <f>IF('Klimat och Energi'!D9="","",'Klimat och Energi'!D9)</f>
        <v/>
      </c>
      <c r="D36" s="95" t="str">
        <f>'Klimat och Energi'!E9</f>
        <v/>
      </c>
    </row>
    <row r="37" spans="1:4" x14ac:dyDescent="0.25">
      <c r="A37" s="94" t="str">
        <f>CONCATENATE(" -  ",'Klimat och Energi'!B12)</f>
        <v xml:space="preserve"> -  </v>
      </c>
      <c r="B37" s="198" t="str">
        <f>IF(C37="","",IF(Inriktning="","",VLOOKUP('Klimat och Energi'!B12,Tabeller!A131:B146,2,FALSE)))</f>
        <v/>
      </c>
      <c r="C37" s="103" t="str">
        <f>IF('Klimat och Energi'!D12="","",'Klimat och Energi'!D12)</f>
        <v/>
      </c>
      <c r="D37" s="95" t="str">
        <f>'Klimat och Energi'!E12</f>
        <v/>
      </c>
    </row>
    <row r="38" spans="1:4" x14ac:dyDescent="0.25">
      <c r="A38" s="94" t="str">
        <f>CONCATENATE(" -  ",'Klimat och Energi'!B13)</f>
        <v xml:space="preserve"> -  </v>
      </c>
      <c r="B38" s="198" t="str">
        <f>IF(C38="","",IF(Inriktning="","",VLOOKUP('Klimat och Energi'!B13,Tabeller!A131:B146,2,FALSE)))</f>
        <v/>
      </c>
      <c r="C38" s="103" t="str">
        <f>IF('Klimat och Energi'!D13="","",'Klimat och Energi'!D13)</f>
        <v/>
      </c>
      <c r="D38" s="95" t="str">
        <f>'Klimat och Energi'!E13</f>
        <v/>
      </c>
    </row>
    <row r="39" spans="1:4" x14ac:dyDescent="0.25">
      <c r="A39" s="94" t="s">
        <v>5</v>
      </c>
      <c r="B39" s="98"/>
      <c r="C39" s="93" t="str">
        <f>IF('Klimat och Energi'!D14="","",'Klimat och Energi'!D14)</f>
        <v/>
      </c>
      <c r="D39" s="95" t="str">
        <f>'Klimat och Energi'!E14</f>
        <v/>
      </c>
    </row>
    <row r="40" spans="1:4" x14ac:dyDescent="0.25">
      <c r="A40" s="94" t="s">
        <v>126</v>
      </c>
      <c r="B40" s="98"/>
      <c r="C40" s="93" t="str">
        <f>IF('Klimat och Energi'!D15="","",'Klimat och Energi'!D15)</f>
        <v/>
      </c>
      <c r="D40" s="95" t="str">
        <f>'Klimat och Energi'!E15</f>
        <v/>
      </c>
    </row>
    <row r="41" spans="1:4" x14ac:dyDescent="0.25">
      <c r="A41" s="94"/>
      <c r="B41" s="98"/>
      <c r="C41" s="93"/>
      <c r="D41" s="95"/>
    </row>
    <row r="42" spans="1:4" ht="13" x14ac:dyDescent="0.3">
      <c r="A42" s="92" t="s">
        <v>42</v>
      </c>
      <c r="B42" s="98"/>
      <c r="C42" s="93"/>
      <c r="D42" s="95"/>
    </row>
    <row r="43" spans="1:4" x14ac:dyDescent="0.25">
      <c r="A43" s="94" t="s">
        <v>553</v>
      </c>
      <c r="B43" s="199" t="str">
        <f>IF(Inriktning="","",IF(C43="","",VLOOKUP(Inriktning,Tabellen,15,FALSE)))</f>
        <v/>
      </c>
      <c r="C43" s="187" t="str">
        <f>IF('Klimat och Energi'!D18="","",'Klimat och Energi'!D18)</f>
        <v/>
      </c>
      <c r="D43" s="95" t="str">
        <f>'Klimat och Energi'!E18</f>
        <v/>
      </c>
    </row>
    <row r="44" spans="1:4" x14ac:dyDescent="0.25">
      <c r="A44" s="94" t="s">
        <v>152</v>
      </c>
      <c r="B44" s="98"/>
      <c r="C44" s="93" t="str">
        <f>IF('Klimat och Energi'!D19="","",'Klimat och Energi'!D19)</f>
        <v/>
      </c>
      <c r="D44" s="95" t="str">
        <f>'Klimat och Energi'!E19</f>
        <v/>
      </c>
    </row>
    <row r="45" spans="1:4" x14ac:dyDescent="0.25">
      <c r="A45" s="94" t="s">
        <v>357</v>
      </c>
      <c r="B45" s="98"/>
      <c r="C45" s="93" t="str">
        <f>IF('Klimat och Energi'!D20="","",'Klimat och Energi'!D20)</f>
        <v/>
      </c>
      <c r="D45" s="95" t="str">
        <f>'Klimat och Energi'!E20</f>
        <v/>
      </c>
    </row>
    <row r="46" spans="1:4" x14ac:dyDescent="0.25">
      <c r="A46" s="99" t="s">
        <v>153</v>
      </c>
      <c r="B46" s="200"/>
      <c r="C46" s="100" t="str">
        <f>IF('Klimat och Energi'!D21="","",'Klimat och Energi'!D21)</f>
        <v/>
      </c>
      <c r="D46" s="101"/>
    </row>
  </sheetData>
  <conditionalFormatting sqref="D5:D11">
    <cfRule type="containsText" dxfId="41" priority="43" operator="containsText" text="Grön">
      <formula>NOT(ISERROR(SEARCH("Grön",D5)))</formula>
    </cfRule>
    <cfRule type="containsText" dxfId="40" priority="44" operator="containsText" text="Röd">
      <formula>NOT(ISERROR(SEARCH("Röd",D5)))</formula>
    </cfRule>
    <cfRule type="cellIs" dxfId="39" priority="48" operator="equal">
      <formula>"""Gul"""</formula>
    </cfRule>
  </conditionalFormatting>
  <conditionalFormatting sqref="D5:D11">
    <cfRule type="containsText" dxfId="38" priority="45" operator="containsText" text="Grön">
      <formula>NOT(ISERROR(SEARCH("Grön",D5)))</formula>
    </cfRule>
    <cfRule type="containsText" dxfId="37" priority="46" operator="containsText" text="Röd">
      <formula>NOT(ISERROR(SEARCH("Röd",D5)))</formula>
    </cfRule>
    <cfRule type="containsText" dxfId="36" priority="47" operator="containsText" text="Gul">
      <formula>NOT(ISERROR(SEARCH("Gul",D5)))</formula>
    </cfRule>
  </conditionalFormatting>
  <conditionalFormatting sqref="D14:D17 D19:D22">
    <cfRule type="containsText" dxfId="35" priority="37" operator="containsText" text="Grön">
      <formula>NOT(ISERROR(SEARCH("Grön",D14)))</formula>
    </cfRule>
    <cfRule type="containsText" dxfId="34" priority="38" operator="containsText" text="Röd">
      <formula>NOT(ISERROR(SEARCH("Röd",D14)))</formula>
    </cfRule>
    <cfRule type="cellIs" dxfId="33" priority="42" operator="equal">
      <formula>"""Gul"""</formula>
    </cfRule>
  </conditionalFormatting>
  <conditionalFormatting sqref="D14:D17 D19:D22">
    <cfRule type="containsText" dxfId="32" priority="39" operator="containsText" text="Grön">
      <formula>NOT(ISERROR(SEARCH("Grön",D14)))</formula>
    </cfRule>
    <cfRule type="containsText" dxfId="31" priority="40" operator="containsText" text="Röd">
      <formula>NOT(ISERROR(SEARCH("Röd",D14)))</formula>
    </cfRule>
    <cfRule type="containsText" dxfId="30" priority="41" operator="containsText" text="Gul">
      <formula>NOT(ISERROR(SEARCH("Gul",D14)))</formula>
    </cfRule>
  </conditionalFormatting>
  <conditionalFormatting sqref="D26:D30">
    <cfRule type="containsText" dxfId="29" priority="25" operator="containsText" text="Grön">
      <formula>NOT(ISERROR(SEARCH("Grön",D26)))</formula>
    </cfRule>
    <cfRule type="containsText" dxfId="28" priority="26" operator="containsText" text="Röd">
      <formula>NOT(ISERROR(SEARCH("Röd",D26)))</formula>
    </cfRule>
    <cfRule type="cellIs" dxfId="27" priority="30" operator="equal">
      <formula>"""Gul"""</formula>
    </cfRule>
  </conditionalFormatting>
  <conditionalFormatting sqref="D26:D30">
    <cfRule type="containsText" dxfId="26" priority="27" operator="containsText" text="Grön">
      <formula>NOT(ISERROR(SEARCH("Grön",D26)))</formula>
    </cfRule>
    <cfRule type="containsText" dxfId="25" priority="28" operator="containsText" text="Röd">
      <formula>NOT(ISERROR(SEARCH("Röd",D26)))</formula>
    </cfRule>
    <cfRule type="containsText" dxfId="24" priority="29" operator="containsText" text="Gul">
      <formula>NOT(ISERROR(SEARCH("Gul",D26)))</formula>
    </cfRule>
  </conditionalFormatting>
  <conditionalFormatting sqref="D35:D39">
    <cfRule type="containsText" dxfId="23" priority="19" operator="containsText" text="Grön">
      <formula>NOT(ISERROR(SEARCH("Grön",D35)))</formula>
    </cfRule>
    <cfRule type="containsText" dxfId="22" priority="20" operator="containsText" text="Röd">
      <formula>NOT(ISERROR(SEARCH("Röd",D35)))</formula>
    </cfRule>
    <cfRule type="cellIs" dxfId="21" priority="24" operator="equal">
      <formula>"""Gul"""</formula>
    </cfRule>
  </conditionalFormatting>
  <conditionalFormatting sqref="D35:D39">
    <cfRule type="containsText" dxfId="20" priority="21" operator="containsText" text="Grön">
      <formula>NOT(ISERROR(SEARCH("Grön",D35)))</formula>
    </cfRule>
    <cfRule type="containsText" dxfId="19" priority="22" operator="containsText" text="Röd">
      <formula>NOT(ISERROR(SEARCH("Röd",D35)))</formula>
    </cfRule>
    <cfRule type="containsText" dxfId="18" priority="23" operator="containsText" text="Gul">
      <formula>NOT(ISERROR(SEARCH("Gul",D35)))</formula>
    </cfRule>
  </conditionalFormatting>
  <conditionalFormatting sqref="D43:D45">
    <cfRule type="containsText" dxfId="17" priority="13" operator="containsText" text="Grön">
      <formula>NOT(ISERROR(SEARCH("Grön",D43)))</formula>
    </cfRule>
    <cfRule type="containsText" dxfId="16" priority="14" operator="containsText" text="Röd">
      <formula>NOT(ISERROR(SEARCH("Röd",D43)))</formula>
    </cfRule>
    <cfRule type="cellIs" dxfId="15" priority="18" operator="equal">
      <formula>"""Gul"""</formula>
    </cfRule>
  </conditionalFormatting>
  <conditionalFormatting sqref="D43:D45">
    <cfRule type="containsText" dxfId="14" priority="15" operator="containsText" text="Grön">
      <formula>NOT(ISERROR(SEARCH("Grön",D43)))</formula>
    </cfRule>
    <cfRule type="containsText" dxfId="13" priority="16" operator="containsText" text="Röd">
      <formula>NOT(ISERROR(SEARCH("Röd",D43)))</formula>
    </cfRule>
    <cfRule type="containsText" dxfId="12" priority="17" operator="containsText" text="Gul">
      <formula>NOT(ISERROR(SEARCH("Gul",D43)))</formula>
    </cfRule>
  </conditionalFormatting>
  <conditionalFormatting sqref="D18">
    <cfRule type="containsText" dxfId="11" priority="7" operator="containsText" text="Grön">
      <formula>NOT(ISERROR(SEARCH("Grön",D18)))</formula>
    </cfRule>
    <cfRule type="containsText" dxfId="10" priority="8" operator="containsText" text="Röd">
      <formula>NOT(ISERROR(SEARCH("Röd",D18)))</formula>
    </cfRule>
    <cfRule type="cellIs" dxfId="9" priority="12" operator="equal">
      <formula>"""Gul"""</formula>
    </cfRule>
  </conditionalFormatting>
  <conditionalFormatting sqref="D18">
    <cfRule type="containsText" dxfId="8" priority="9" operator="containsText" text="Grön">
      <formula>NOT(ISERROR(SEARCH("Grön",D18)))</formula>
    </cfRule>
    <cfRule type="containsText" dxfId="7" priority="10" operator="containsText" text="Röd">
      <formula>NOT(ISERROR(SEARCH("Röd",D18)))</formula>
    </cfRule>
    <cfRule type="containsText" dxfId="6" priority="11" operator="containsText" text="Gul">
      <formula>NOT(ISERROR(SEARCH("Gul",D18)))</formula>
    </cfRule>
  </conditionalFormatting>
  <conditionalFormatting sqref="D40">
    <cfRule type="containsText" dxfId="5" priority="1" operator="containsText" text="Grön">
      <formula>NOT(ISERROR(SEARCH("Grön",D40)))</formula>
    </cfRule>
    <cfRule type="containsText" dxfId="4" priority="2" operator="containsText" text="Röd">
      <formula>NOT(ISERROR(SEARCH("Röd",D40)))</formula>
    </cfRule>
    <cfRule type="cellIs" dxfId="3" priority="6" operator="equal">
      <formula>"""Gul"""</formula>
    </cfRule>
  </conditionalFormatting>
  <conditionalFormatting sqref="D40">
    <cfRule type="containsText" dxfId="2" priority="3" operator="containsText" text="Grön">
      <formula>NOT(ISERROR(SEARCH("Grön",D40)))</formula>
    </cfRule>
    <cfRule type="containsText" dxfId="1" priority="4" operator="containsText" text="Röd">
      <formula>NOT(ISERROR(SEARCH("Röd",D40)))</formula>
    </cfRule>
    <cfRule type="containsText" dxfId="0" priority="5" operator="containsText" text="Gul">
      <formula>NOT(ISERROR(SEARCH("Gul",D40)))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AD352"/>
  <sheetViews>
    <sheetView topLeftCell="J1" workbookViewId="0">
      <selection activeCell="Z24" sqref="Z24"/>
    </sheetView>
  </sheetViews>
  <sheetFormatPr defaultColWidth="8.58203125" defaultRowHeight="12.5" x14ac:dyDescent="0.25"/>
  <cols>
    <col min="1" max="1" width="25.25" style="1" customWidth="1"/>
    <col min="2" max="2" width="11.75" style="1" customWidth="1"/>
    <col min="3" max="3" width="11" style="1" bestFit="1" customWidth="1"/>
    <col min="4" max="5" width="9.5" style="1" bestFit="1" customWidth="1"/>
    <col min="6" max="6" width="8.58203125" style="1"/>
    <col min="7" max="7" width="11.25" style="1" customWidth="1"/>
    <col min="8" max="16384" width="8.58203125" style="1"/>
  </cols>
  <sheetData>
    <row r="1" spans="1:30" ht="13" x14ac:dyDescent="0.3">
      <c r="A1" s="11" t="s">
        <v>106</v>
      </c>
      <c r="B1" s="10"/>
      <c r="C1" s="10"/>
      <c r="D1" s="10"/>
      <c r="E1" s="10"/>
      <c r="F1" s="10"/>
      <c r="G1" s="10"/>
      <c r="H1" s="10"/>
    </row>
    <row r="2" spans="1:30" ht="13" x14ac:dyDescent="0.3">
      <c r="A2" s="11"/>
      <c r="B2" s="10"/>
      <c r="C2" s="10"/>
      <c r="D2" s="10"/>
      <c r="E2" s="10"/>
      <c r="F2" s="10"/>
      <c r="G2" s="10"/>
      <c r="H2" s="10"/>
    </row>
    <row r="3" spans="1:30" ht="13" x14ac:dyDescent="0.3">
      <c r="A3" s="11"/>
      <c r="B3" s="10"/>
      <c r="C3" s="10"/>
      <c r="D3" s="10"/>
      <c r="E3" s="10"/>
      <c r="F3" s="10"/>
      <c r="G3" s="10"/>
      <c r="H3" s="10"/>
    </row>
    <row r="4" spans="1:30" ht="12.65" customHeight="1" x14ac:dyDescent="0.3">
      <c r="A4" s="11"/>
      <c r="B4" s="10"/>
      <c r="C4" s="10"/>
      <c r="D4" s="10"/>
      <c r="E4" s="10"/>
      <c r="F4" s="10"/>
      <c r="G4" s="10"/>
      <c r="H4" s="10"/>
    </row>
    <row r="5" spans="1:30" ht="30" customHeight="1" x14ac:dyDescent="0.3">
      <c r="A5" s="10"/>
      <c r="B5" s="223" t="s">
        <v>18</v>
      </c>
      <c r="C5" s="224"/>
      <c r="D5" s="223" t="s">
        <v>7</v>
      </c>
      <c r="E5" s="224"/>
      <c r="F5" s="222" t="s">
        <v>60</v>
      </c>
      <c r="G5" s="222"/>
      <c r="H5" s="222"/>
      <c r="I5" s="222"/>
      <c r="J5" s="225"/>
      <c r="K5" s="221" t="s">
        <v>250</v>
      </c>
      <c r="L5" s="222"/>
      <c r="M5" s="222"/>
      <c r="N5" s="136" t="s">
        <v>41</v>
      </c>
      <c r="O5" s="135" t="s">
        <v>236</v>
      </c>
      <c r="P5" s="221" t="s">
        <v>60</v>
      </c>
      <c r="Q5" s="222"/>
      <c r="R5" s="222"/>
      <c r="S5" s="221" t="s">
        <v>250</v>
      </c>
      <c r="T5" s="222"/>
      <c r="U5" s="222"/>
      <c r="V5" s="221" t="s">
        <v>353</v>
      </c>
      <c r="W5" s="222"/>
      <c r="X5" s="222"/>
      <c r="Y5" s="219" t="s">
        <v>550</v>
      </c>
      <c r="Z5" s="220"/>
      <c r="AA5" s="220"/>
      <c r="AB5" s="195" t="s">
        <v>441</v>
      </c>
      <c r="AC5" s="196" t="s">
        <v>454</v>
      </c>
      <c r="AD5" s="196" t="s">
        <v>456</v>
      </c>
    </row>
    <row r="6" spans="1:30" ht="13" x14ac:dyDescent="0.3">
      <c r="A6" s="106" t="s">
        <v>0</v>
      </c>
      <c r="B6" s="18" t="s">
        <v>19</v>
      </c>
      <c r="C6" s="19" t="s">
        <v>20</v>
      </c>
      <c r="D6" s="19" t="s">
        <v>19</v>
      </c>
      <c r="E6" s="19" t="s">
        <v>20</v>
      </c>
      <c r="F6" s="19" t="s">
        <v>58</v>
      </c>
      <c r="G6" s="19" t="s">
        <v>59</v>
      </c>
      <c r="H6" s="19" t="s">
        <v>61</v>
      </c>
      <c r="I6" s="19" t="s">
        <v>19</v>
      </c>
      <c r="J6" s="20" t="s">
        <v>20</v>
      </c>
      <c r="K6" s="18" t="s">
        <v>19</v>
      </c>
      <c r="L6" s="19" t="s">
        <v>20</v>
      </c>
      <c r="M6" s="19" t="s">
        <v>174</v>
      </c>
      <c r="N6" s="27" t="s">
        <v>174</v>
      </c>
      <c r="O6" s="20" t="s">
        <v>174</v>
      </c>
      <c r="P6" s="1" t="s">
        <v>343</v>
      </c>
      <c r="Q6" s="1" t="s">
        <v>342</v>
      </c>
      <c r="R6" s="1" t="s">
        <v>344</v>
      </c>
      <c r="S6" s="1" t="s">
        <v>343</v>
      </c>
      <c r="T6" s="1" t="s">
        <v>342</v>
      </c>
      <c r="U6" s="1" t="s">
        <v>344</v>
      </c>
      <c r="V6" s="1" t="s">
        <v>354</v>
      </c>
      <c r="W6" s="1" t="s">
        <v>355</v>
      </c>
      <c r="X6" s="1" t="s">
        <v>344</v>
      </c>
      <c r="Y6" s="1" t="s">
        <v>319</v>
      </c>
      <c r="Z6" s="1" t="s">
        <v>43</v>
      </c>
      <c r="AA6" s="1" t="s">
        <v>344</v>
      </c>
    </row>
    <row r="7" spans="1:30" x14ac:dyDescent="0.25">
      <c r="A7" s="72" t="s">
        <v>10</v>
      </c>
      <c r="B7" s="39">
        <v>0</v>
      </c>
      <c r="C7" s="13">
        <v>0</v>
      </c>
      <c r="D7" s="39">
        <v>0</v>
      </c>
      <c r="E7" s="164">
        <v>1</v>
      </c>
      <c r="F7" s="111">
        <v>40</v>
      </c>
      <c r="G7" s="12">
        <v>0</v>
      </c>
      <c r="H7" s="112">
        <f>F7+Övergödning!$B$4*G7</f>
        <v>40</v>
      </c>
      <c r="I7" s="112">
        <f>0.885*H7</f>
        <v>35.4</v>
      </c>
      <c r="J7" s="113">
        <f>1.115*H7</f>
        <v>44.6</v>
      </c>
      <c r="K7" s="116"/>
      <c r="L7" s="112"/>
      <c r="M7" s="112"/>
      <c r="N7" s="137"/>
      <c r="O7" s="137"/>
      <c r="P7" s="181">
        <f>2*(I7-H7)+H7</f>
        <v>30.799999999999997</v>
      </c>
      <c r="Q7" s="181">
        <f>2*(J7-H7)+H7</f>
        <v>49.2</v>
      </c>
      <c r="R7" s="181">
        <f>Q7-P7</f>
        <v>18.400000000000006</v>
      </c>
      <c r="AB7" s="1" t="s">
        <v>25</v>
      </c>
      <c r="AD7" s="190" t="s">
        <v>544</v>
      </c>
    </row>
    <row r="8" spans="1:30" x14ac:dyDescent="0.25">
      <c r="A8" s="72" t="s">
        <v>11</v>
      </c>
      <c r="B8" s="108">
        <v>1</v>
      </c>
      <c r="C8" s="16">
        <v>1.1000000000000001</v>
      </c>
      <c r="D8" s="17">
        <v>160</v>
      </c>
      <c r="E8" s="165">
        <v>194</v>
      </c>
      <c r="F8" s="114">
        <v>61.256</v>
      </c>
      <c r="G8" s="74">
        <v>70.576999999999998</v>
      </c>
      <c r="H8" s="74">
        <f>F8+Övergödning!$B$4*G8</f>
        <v>61.256</v>
      </c>
      <c r="I8" s="74">
        <f t="shared" ref="I8:I13" si="0">0.885*H8</f>
        <v>54.211559999999999</v>
      </c>
      <c r="J8" s="75">
        <f t="shared" ref="J8:J13" si="1">1.115*H8</f>
        <v>68.300439999999995</v>
      </c>
      <c r="K8" s="184">
        <f t="shared" ref="K8:M9" si="2">C161</f>
        <v>26</v>
      </c>
      <c r="L8" s="185">
        <f t="shared" si="2"/>
        <v>30</v>
      </c>
      <c r="M8" s="185" t="str">
        <f t="shared" si="2"/>
        <v>16-40</v>
      </c>
      <c r="N8" s="140">
        <v>1</v>
      </c>
      <c r="O8" s="138">
        <v>170</v>
      </c>
      <c r="P8" s="181">
        <f t="shared" ref="P8:P20" si="3">2*(I8-H8)+H8</f>
        <v>47.167119999999997</v>
      </c>
      <c r="Q8" s="181">
        <f t="shared" ref="Q8:Q20" si="4">2*(J8-H8)+H8</f>
        <v>75.344879999999989</v>
      </c>
      <c r="R8" s="181">
        <f t="shared" ref="R8:R20" si="5">Q8-P8</f>
        <v>28.177759999999992</v>
      </c>
      <c r="S8" s="181">
        <f>2*(K8-AVERAGE(K8:L8))+AVERAGE(K8:L8)</f>
        <v>24</v>
      </c>
      <c r="T8" s="181">
        <f>2*(L8-AVERAGE(K8:L8))+AVERAGE(K8:L8)</f>
        <v>32</v>
      </c>
      <c r="U8" s="181">
        <f t="shared" ref="U8:U20" si="6">T8-S8</f>
        <v>8</v>
      </c>
      <c r="V8" s="85">
        <f>2*(B8-AVERAGE(B8:C8))+AVERAGE(B8:C8)</f>
        <v>0.95</v>
      </c>
      <c r="W8" s="85">
        <f>2*(C8-AVERAGE(B8:C8))+AVERAGE(B8:C8)</f>
        <v>1.1500000000000001</v>
      </c>
      <c r="X8" s="85">
        <f t="shared" ref="X8" si="7">W8-V8</f>
        <v>0.20000000000000018</v>
      </c>
      <c r="Y8" s="181">
        <f>2*(D8-O8)+O8</f>
        <v>150</v>
      </c>
      <c r="Z8" s="181">
        <f>2*(E8-O8)+O8</f>
        <v>218</v>
      </c>
      <c r="AA8" s="181">
        <f>Z8-Y8</f>
        <v>68</v>
      </c>
      <c r="AB8" s="1" t="s">
        <v>25</v>
      </c>
      <c r="AC8" s="1">
        <v>0.5</v>
      </c>
      <c r="AD8" s="1" t="s">
        <v>458</v>
      </c>
    </row>
    <row r="9" spans="1:30" x14ac:dyDescent="0.25">
      <c r="A9" s="72" t="s">
        <v>12</v>
      </c>
      <c r="B9" s="17">
        <v>46</v>
      </c>
      <c r="C9" s="16">
        <v>54</v>
      </c>
      <c r="D9" s="17">
        <v>472</v>
      </c>
      <c r="E9" s="165">
        <v>653</v>
      </c>
      <c r="F9" s="114">
        <v>58.475000000000001</v>
      </c>
      <c r="G9" s="74">
        <v>58.195999999999998</v>
      </c>
      <c r="H9" s="74">
        <f>F9+Övergödning!$B$4*G9</f>
        <v>58.475000000000001</v>
      </c>
      <c r="I9" s="74">
        <f t="shared" si="0"/>
        <v>51.750374999999998</v>
      </c>
      <c r="J9" s="75">
        <f t="shared" si="1"/>
        <v>65.199624999999997</v>
      </c>
      <c r="K9" s="184">
        <f t="shared" si="2"/>
        <v>20</v>
      </c>
      <c r="L9" s="185">
        <f t="shared" si="2"/>
        <v>25</v>
      </c>
      <c r="M9" s="185" t="str">
        <f t="shared" si="2"/>
        <v>0-30</v>
      </c>
      <c r="N9" s="143" t="s">
        <v>476</v>
      </c>
      <c r="O9" s="138">
        <v>544</v>
      </c>
      <c r="P9" s="181">
        <f t="shared" si="3"/>
        <v>45.025749999999995</v>
      </c>
      <c r="Q9" s="181">
        <f t="shared" si="4"/>
        <v>71.924250000000001</v>
      </c>
      <c r="R9" s="181">
        <f t="shared" si="5"/>
        <v>26.898500000000006</v>
      </c>
      <c r="S9" s="181">
        <f t="shared" ref="S9:S20" si="8">2*(K9-AVERAGE(K9:L9))+AVERAGE(K9:L9)</f>
        <v>17.5</v>
      </c>
      <c r="T9" s="181">
        <f t="shared" ref="T9:T20" si="9">2*(L9-AVERAGE(K9:L9))+AVERAGE(K9:L9)</f>
        <v>27.5</v>
      </c>
      <c r="U9" s="181">
        <f t="shared" si="6"/>
        <v>10</v>
      </c>
      <c r="V9" s="85">
        <f t="shared" ref="V9:V19" si="10">2*(B9-AVERAGE(B9:C9))+AVERAGE(B9:C9)</f>
        <v>42</v>
      </c>
      <c r="W9" s="85">
        <f t="shared" ref="W9:W19" si="11">2*(C9-AVERAGE(B9:C9))+AVERAGE(B9:C9)</f>
        <v>58</v>
      </c>
      <c r="X9" s="85">
        <f t="shared" ref="X9:X19" si="12">W9-V9</f>
        <v>16</v>
      </c>
      <c r="Y9" s="181">
        <f t="shared" ref="Y9:Y19" si="13">2*(D9-O9)+O9</f>
        <v>400</v>
      </c>
      <c r="Z9" s="181">
        <f t="shared" ref="Z9:Z19" si="14">2*(E9-O9)+O9</f>
        <v>762</v>
      </c>
      <c r="AA9" s="181">
        <f t="shared" ref="AA9:AA19" si="15">Z9-Y9</f>
        <v>362</v>
      </c>
      <c r="AB9" s="1" t="s">
        <v>25</v>
      </c>
      <c r="AC9" s="1">
        <v>1</v>
      </c>
      <c r="AD9" s="1" t="s">
        <v>457</v>
      </c>
    </row>
    <row r="10" spans="1:30" x14ac:dyDescent="0.25">
      <c r="A10" s="72" t="s">
        <v>13</v>
      </c>
      <c r="B10" s="17">
        <v>15</v>
      </c>
      <c r="C10" s="16">
        <v>20</v>
      </c>
      <c r="D10" s="17">
        <v>1.06</v>
      </c>
      <c r="E10" s="165">
        <v>2</v>
      </c>
      <c r="F10" s="114">
        <v>58.475000000000001</v>
      </c>
      <c r="G10" s="74">
        <v>58.195999999999998</v>
      </c>
      <c r="H10" s="74">
        <f>F10+Övergödning!$B$4*G10</f>
        <v>58.475000000000001</v>
      </c>
      <c r="I10" s="74">
        <f t="shared" si="0"/>
        <v>51.750374999999998</v>
      </c>
      <c r="J10" s="75">
        <f t="shared" si="1"/>
        <v>65.199624999999997</v>
      </c>
      <c r="K10" s="184">
        <f>C162</f>
        <v>20</v>
      </c>
      <c r="L10" s="185">
        <f>D162</f>
        <v>25</v>
      </c>
      <c r="M10" s="185" t="str">
        <f>E162</f>
        <v>0-30</v>
      </c>
      <c r="N10" s="142" t="s">
        <v>477</v>
      </c>
      <c r="O10" s="141">
        <f>AVERAGE(D10:E10)</f>
        <v>1.53</v>
      </c>
      <c r="P10" s="181">
        <f t="shared" si="3"/>
        <v>45.025749999999995</v>
      </c>
      <c r="Q10" s="181">
        <f t="shared" si="4"/>
        <v>71.924250000000001</v>
      </c>
      <c r="R10" s="181">
        <f t="shared" si="5"/>
        <v>26.898500000000006</v>
      </c>
      <c r="S10" s="181">
        <f t="shared" si="8"/>
        <v>17.5</v>
      </c>
      <c r="T10" s="181">
        <f t="shared" si="9"/>
        <v>27.5</v>
      </c>
      <c r="U10" s="181">
        <f t="shared" si="6"/>
        <v>10</v>
      </c>
      <c r="V10" s="85">
        <f t="shared" si="10"/>
        <v>12.5</v>
      </c>
      <c r="W10" s="85">
        <f t="shared" si="11"/>
        <v>22.5</v>
      </c>
      <c r="X10" s="85">
        <f t="shared" si="12"/>
        <v>10</v>
      </c>
      <c r="Y10" s="181">
        <f t="shared" si="13"/>
        <v>0.59000000000000008</v>
      </c>
      <c r="Z10" s="181">
        <f t="shared" si="14"/>
        <v>2.4699999999999998</v>
      </c>
      <c r="AA10" s="181">
        <f t="shared" si="15"/>
        <v>1.8799999999999997</v>
      </c>
      <c r="AB10" s="1" t="s">
        <v>25</v>
      </c>
      <c r="AC10" s="1">
        <v>0.5</v>
      </c>
      <c r="AD10" s="1" t="s">
        <v>458</v>
      </c>
    </row>
    <row r="11" spans="1:30" x14ac:dyDescent="0.25">
      <c r="A11" s="72" t="s">
        <v>14</v>
      </c>
      <c r="B11" s="17">
        <v>23</v>
      </c>
      <c r="C11" s="16">
        <v>27</v>
      </c>
      <c r="D11" s="17">
        <v>1.06</v>
      </c>
      <c r="E11" s="165">
        <v>2</v>
      </c>
      <c r="F11" s="114">
        <v>58.475000000000001</v>
      </c>
      <c r="G11" s="74">
        <v>58.195999999999998</v>
      </c>
      <c r="H11" s="74">
        <f>F11+Övergödning!$B$4*G11</f>
        <v>58.475000000000001</v>
      </c>
      <c r="I11" s="74">
        <f t="shared" si="0"/>
        <v>51.750374999999998</v>
      </c>
      <c r="J11" s="75">
        <f t="shared" si="1"/>
        <v>65.199624999999997</v>
      </c>
      <c r="K11" s="184">
        <f>C162</f>
        <v>20</v>
      </c>
      <c r="L11" s="185">
        <f t="shared" ref="L11:M11" si="16">D162</f>
        <v>25</v>
      </c>
      <c r="M11" s="185" t="str">
        <f t="shared" si="16"/>
        <v>0-30</v>
      </c>
      <c r="N11" s="143" t="s">
        <v>478</v>
      </c>
      <c r="O11" s="141">
        <f>AVERAGE(D11:E11)</f>
        <v>1.53</v>
      </c>
      <c r="P11" s="181">
        <f t="shared" si="3"/>
        <v>45.025749999999995</v>
      </c>
      <c r="Q11" s="181">
        <f t="shared" si="4"/>
        <v>71.924250000000001</v>
      </c>
      <c r="R11" s="181">
        <f t="shared" si="5"/>
        <v>26.898500000000006</v>
      </c>
      <c r="S11" s="181">
        <f t="shared" si="8"/>
        <v>17.5</v>
      </c>
      <c r="T11" s="181">
        <f t="shared" si="9"/>
        <v>27.5</v>
      </c>
      <c r="U11" s="181">
        <f t="shared" si="6"/>
        <v>10</v>
      </c>
      <c r="V11" s="85">
        <f t="shared" si="10"/>
        <v>21</v>
      </c>
      <c r="W11" s="85">
        <f t="shared" si="11"/>
        <v>29</v>
      </c>
      <c r="X11" s="85">
        <f t="shared" si="12"/>
        <v>8</v>
      </c>
      <c r="Y11" s="181">
        <f t="shared" si="13"/>
        <v>0.59000000000000008</v>
      </c>
      <c r="Z11" s="181">
        <f t="shared" si="14"/>
        <v>2.4699999999999998</v>
      </c>
      <c r="AA11" s="181">
        <f t="shared" si="15"/>
        <v>1.8799999999999997</v>
      </c>
      <c r="AB11" s="1" t="s">
        <v>25</v>
      </c>
      <c r="AC11" s="1">
        <v>0.55000000000000004</v>
      </c>
      <c r="AD11" s="1" t="s">
        <v>458</v>
      </c>
    </row>
    <row r="12" spans="1:30" x14ac:dyDescent="0.25">
      <c r="A12" s="72" t="s">
        <v>15</v>
      </c>
      <c r="B12" s="108">
        <v>3</v>
      </c>
      <c r="C12" s="16">
        <v>3.5</v>
      </c>
      <c r="D12" s="110">
        <v>0.32</v>
      </c>
      <c r="E12" s="165">
        <v>0.47</v>
      </c>
      <c r="F12" s="114">
        <v>68.284999999999997</v>
      </c>
      <c r="G12" s="74">
        <v>26.516999999999999</v>
      </c>
      <c r="H12" s="74">
        <f>F12+Övergödning!$B$4*G12</f>
        <v>68.284999999999997</v>
      </c>
      <c r="I12" s="74">
        <f t="shared" si="0"/>
        <v>60.432224999999995</v>
      </c>
      <c r="J12" s="75">
        <f t="shared" si="1"/>
        <v>76.137774999999991</v>
      </c>
      <c r="K12" s="184">
        <f>C163</f>
        <v>37</v>
      </c>
      <c r="L12" s="185">
        <f>D163</f>
        <v>43</v>
      </c>
      <c r="M12" s="185" t="str">
        <f>E163</f>
        <v>20-40</v>
      </c>
      <c r="N12" s="143" t="s">
        <v>475</v>
      </c>
      <c r="O12" s="141">
        <v>0.44</v>
      </c>
      <c r="P12" s="181">
        <f t="shared" si="3"/>
        <v>52.579449999999994</v>
      </c>
      <c r="Q12" s="181">
        <f t="shared" si="4"/>
        <v>83.990549999999985</v>
      </c>
      <c r="R12" s="181">
        <f t="shared" si="5"/>
        <v>31.41109999999999</v>
      </c>
      <c r="S12" s="181">
        <f t="shared" si="8"/>
        <v>34</v>
      </c>
      <c r="T12" s="181">
        <f t="shared" si="9"/>
        <v>46</v>
      </c>
      <c r="U12" s="181">
        <f t="shared" si="6"/>
        <v>12</v>
      </c>
      <c r="V12" s="85">
        <f t="shared" si="10"/>
        <v>2.75</v>
      </c>
      <c r="W12" s="85">
        <f t="shared" si="11"/>
        <v>3.75</v>
      </c>
      <c r="X12" s="85">
        <f t="shared" si="12"/>
        <v>1</v>
      </c>
      <c r="Y12" s="181">
        <f t="shared" si="13"/>
        <v>0.2</v>
      </c>
      <c r="Z12" s="181">
        <f t="shared" si="14"/>
        <v>0.49999999999999994</v>
      </c>
      <c r="AA12" s="181">
        <f t="shared" si="15"/>
        <v>0.29999999999999993</v>
      </c>
      <c r="AB12" s="1" t="s">
        <v>25</v>
      </c>
      <c r="AC12" s="1">
        <v>0.7</v>
      </c>
      <c r="AD12" s="1" t="s">
        <v>458</v>
      </c>
    </row>
    <row r="13" spans="1:30" x14ac:dyDescent="0.25">
      <c r="A13" s="72" t="s">
        <v>16</v>
      </c>
      <c r="B13" s="108">
        <v>4.3</v>
      </c>
      <c r="C13" s="16">
        <v>5</v>
      </c>
      <c r="D13" s="108">
        <v>47</v>
      </c>
      <c r="E13" s="165">
        <v>55.4</v>
      </c>
      <c r="F13" s="114">
        <v>68.284999999999997</v>
      </c>
      <c r="G13" s="74">
        <v>26.516999999999999</v>
      </c>
      <c r="H13" s="74">
        <f>F13+Övergödning!$B$4*G13</f>
        <v>68.284999999999997</v>
      </c>
      <c r="I13" s="74">
        <f t="shared" si="0"/>
        <v>60.432224999999995</v>
      </c>
      <c r="J13" s="75">
        <f t="shared" si="1"/>
        <v>76.137774999999991</v>
      </c>
      <c r="K13" s="184">
        <f>C163</f>
        <v>37</v>
      </c>
      <c r="L13" s="185">
        <f>D163</f>
        <v>43</v>
      </c>
      <c r="M13" s="185" t="str">
        <f>E163</f>
        <v>20-40</v>
      </c>
      <c r="N13" s="143" t="s">
        <v>237</v>
      </c>
      <c r="O13" s="138">
        <v>53</v>
      </c>
      <c r="P13" s="181">
        <f t="shared" si="3"/>
        <v>52.579449999999994</v>
      </c>
      <c r="Q13" s="181">
        <f t="shared" si="4"/>
        <v>83.990549999999985</v>
      </c>
      <c r="R13" s="181">
        <f t="shared" si="5"/>
        <v>31.41109999999999</v>
      </c>
      <c r="S13" s="181">
        <f t="shared" si="8"/>
        <v>34</v>
      </c>
      <c r="T13" s="181">
        <f t="shared" si="9"/>
        <v>46</v>
      </c>
      <c r="U13" s="181">
        <f t="shared" si="6"/>
        <v>12</v>
      </c>
      <c r="V13" s="85">
        <f t="shared" si="10"/>
        <v>3.9499999999999993</v>
      </c>
      <c r="W13" s="85">
        <f t="shared" si="11"/>
        <v>5.35</v>
      </c>
      <c r="X13" s="85">
        <f t="shared" si="12"/>
        <v>1.4000000000000004</v>
      </c>
      <c r="Y13" s="181">
        <f t="shared" si="13"/>
        <v>41</v>
      </c>
      <c r="Z13" s="181">
        <f t="shared" si="14"/>
        <v>57.8</v>
      </c>
      <c r="AA13" s="181">
        <f t="shared" si="15"/>
        <v>16.799999999999997</v>
      </c>
      <c r="AB13" s="1" t="s">
        <v>25</v>
      </c>
      <c r="AC13" s="1">
        <v>1</v>
      </c>
      <c r="AD13" s="1" t="s">
        <v>457</v>
      </c>
    </row>
    <row r="14" spans="1:30" x14ac:dyDescent="0.25">
      <c r="A14" s="72" t="s">
        <v>165</v>
      </c>
      <c r="B14" s="17">
        <v>0</v>
      </c>
      <c r="C14" s="16">
        <v>0</v>
      </c>
      <c r="D14" s="17">
        <v>0</v>
      </c>
      <c r="E14" s="165">
        <v>1</v>
      </c>
      <c r="F14" s="115">
        <v>28</v>
      </c>
      <c r="G14" s="15">
        <v>0</v>
      </c>
      <c r="H14" s="74">
        <f>F14+Övergödning!$B$4*G14</f>
        <v>28</v>
      </c>
      <c r="I14" s="74">
        <f>0.885*H14</f>
        <v>24.78</v>
      </c>
      <c r="J14" s="75">
        <f>1.115*H14</f>
        <v>31.22</v>
      </c>
      <c r="K14" s="114"/>
      <c r="L14" s="74"/>
      <c r="M14" s="74"/>
      <c r="N14" s="143"/>
      <c r="O14" s="138"/>
      <c r="P14" s="181">
        <f t="shared" si="3"/>
        <v>21.560000000000002</v>
      </c>
      <c r="Q14" s="181">
        <f t="shared" si="4"/>
        <v>34.44</v>
      </c>
      <c r="R14" s="181">
        <f t="shared" si="5"/>
        <v>12.879999999999995</v>
      </c>
      <c r="S14" s="181"/>
      <c r="T14" s="181"/>
      <c r="U14" s="181"/>
      <c r="V14" s="85"/>
      <c r="W14" s="85"/>
      <c r="X14" s="85"/>
      <c r="Y14" s="181"/>
      <c r="Z14" s="181"/>
      <c r="AA14" s="181"/>
      <c r="AB14" s="1" t="s">
        <v>24</v>
      </c>
      <c r="AD14" s="190" t="s">
        <v>544</v>
      </c>
    </row>
    <row r="15" spans="1:30" x14ac:dyDescent="0.25">
      <c r="A15" s="72" t="s">
        <v>166</v>
      </c>
      <c r="B15" s="108">
        <v>1</v>
      </c>
      <c r="C15" s="16">
        <v>1.1000000000000001</v>
      </c>
      <c r="D15" s="17">
        <v>160</v>
      </c>
      <c r="E15" s="165">
        <v>194</v>
      </c>
      <c r="F15" s="194">
        <v>28.106999999999999</v>
      </c>
      <c r="G15" s="74">
        <v>56.508000000000003</v>
      </c>
      <c r="H15" s="74">
        <f>F15+Övergödning!$B$4*G15</f>
        <v>28.106999999999999</v>
      </c>
      <c r="I15" s="74">
        <f>0.885*H15</f>
        <v>24.874694999999999</v>
      </c>
      <c r="J15" s="75">
        <f>1.115*H15</f>
        <v>31.339305</v>
      </c>
      <c r="K15" s="184">
        <f>C161</f>
        <v>26</v>
      </c>
      <c r="L15" s="185">
        <f t="shared" ref="L15:M15" si="17">D161</f>
        <v>30</v>
      </c>
      <c r="M15" s="185" t="str">
        <f t="shared" si="17"/>
        <v>16-40</v>
      </c>
      <c r="N15" s="140">
        <v>1</v>
      </c>
      <c r="O15" s="138">
        <v>170</v>
      </c>
      <c r="P15" s="181">
        <f t="shared" si="3"/>
        <v>21.642389999999999</v>
      </c>
      <c r="Q15" s="181">
        <f t="shared" si="4"/>
        <v>34.57161</v>
      </c>
      <c r="R15" s="181">
        <f t="shared" si="5"/>
        <v>12.929220000000001</v>
      </c>
      <c r="S15" s="181">
        <f t="shared" si="8"/>
        <v>24</v>
      </c>
      <c r="T15" s="181">
        <f t="shared" si="9"/>
        <v>32</v>
      </c>
      <c r="U15" s="181">
        <f t="shared" si="6"/>
        <v>8</v>
      </c>
      <c r="V15" s="85">
        <f t="shared" si="10"/>
        <v>0.95</v>
      </c>
      <c r="W15" s="85">
        <f t="shared" si="11"/>
        <v>1.1500000000000001</v>
      </c>
      <c r="X15" s="85">
        <f t="shared" si="12"/>
        <v>0.20000000000000018</v>
      </c>
      <c r="Y15" s="181">
        <f t="shared" si="13"/>
        <v>150</v>
      </c>
      <c r="Z15" s="181">
        <f t="shared" si="14"/>
        <v>218</v>
      </c>
      <c r="AA15" s="181">
        <f t="shared" si="15"/>
        <v>68</v>
      </c>
      <c r="AB15" s="1" t="s">
        <v>24</v>
      </c>
      <c r="AC15" s="1">
        <v>0.5</v>
      </c>
      <c r="AD15" s="1" t="s">
        <v>458</v>
      </c>
    </row>
    <row r="16" spans="1:30" x14ac:dyDescent="0.25">
      <c r="A16" s="72" t="s">
        <v>167</v>
      </c>
      <c r="B16" s="17">
        <v>46</v>
      </c>
      <c r="C16" s="16">
        <v>54</v>
      </c>
      <c r="D16" s="17">
        <v>472</v>
      </c>
      <c r="E16" s="165">
        <v>653</v>
      </c>
      <c r="F16" s="114">
        <v>23.446000000000002</v>
      </c>
      <c r="G16" s="74">
        <v>59.5</v>
      </c>
      <c r="H16" s="74">
        <f>F16+Övergödning!$B$4*G16</f>
        <v>23.446000000000002</v>
      </c>
      <c r="I16" s="74">
        <f t="shared" ref="I16:I18" si="18">0.885*H16</f>
        <v>20.74971</v>
      </c>
      <c r="J16" s="75">
        <f t="shared" ref="J16:J18" si="19">1.115*H16</f>
        <v>26.142290000000003</v>
      </c>
      <c r="K16" s="184">
        <f>C162</f>
        <v>20</v>
      </c>
      <c r="L16" s="185">
        <f t="shared" ref="L16:M16" si="20">D162</f>
        <v>25</v>
      </c>
      <c r="M16" s="185" t="str">
        <f t="shared" si="20"/>
        <v>0-30</v>
      </c>
      <c r="N16" s="143" t="s">
        <v>476</v>
      </c>
      <c r="O16" s="138">
        <v>544</v>
      </c>
      <c r="P16" s="181">
        <f t="shared" si="3"/>
        <v>18.053419999999999</v>
      </c>
      <c r="Q16" s="181">
        <f t="shared" si="4"/>
        <v>28.838580000000004</v>
      </c>
      <c r="R16" s="181">
        <f t="shared" si="5"/>
        <v>10.785160000000005</v>
      </c>
      <c r="S16" s="181">
        <f t="shared" si="8"/>
        <v>17.5</v>
      </c>
      <c r="T16" s="181">
        <f t="shared" si="9"/>
        <v>27.5</v>
      </c>
      <c r="U16" s="181">
        <f t="shared" si="6"/>
        <v>10</v>
      </c>
      <c r="V16" s="85">
        <f t="shared" si="10"/>
        <v>42</v>
      </c>
      <c r="W16" s="85">
        <f t="shared" si="11"/>
        <v>58</v>
      </c>
      <c r="X16" s="85">
        <f t="shared" si="12"/>
        <v>16</v>
      </c>
      <c r="Y16" s="181">
        <f t="shared" si="13"/>
        <v>400</v>
      </c>
      <c r="Z16" s="181">
        <f t="shared" si="14"/>
        <v>762</v>
      </c>
      <c r="AA16" s="181">
        <f t="shared" si="15"/>
        <v>362</v>
      </c>
      <c r="AB16" s="1" t="s">
        <v>24</v>
      </c>
      <c r="AC16" s="1">
        <v>1</v>
      </c>
      <c r="AD16" s="1" t="s">
        <v>457</v>
      </c>
    </row>
    <row r="17" spans="1:30" x14ac:dyDescent="0.25">
      <c r="A17" s="72" t="s">
        <v>168</v>
      </c>
      <c r="B17" s="17">
        <v>15</v>
      </c>
      <c r="C17" s="16">
        <v>20</v>
      </c>
      <c r="D17" s="17">
        <v>1.06</v>
      </c>
      <c r="E17" s="165">
        <v>2</v>
      </c>
      <c r="F17" s="114">
        <v>23.446000000000002</v>
      </c>
      <c r="G17" s="74">
        <v>59.5</v>
      </c>
      <c r="H17" s="74">
        <f>F17+Övergödning!$B$4*G17</f>
        <v>23.446000000000002</v>
      </c>
      <c r="I17" s="74">
        <f t="shared" si="18"/>
        <v>20.74971</v>
      </c>
      <c r="J17" s="75">
        <f t="shared" si="19"/>
        <v>26.142290000000003</v>
      </c>
      <c r="K17" s="184">
        <f>C162</f>
        <v>20</v>
      </c>
      <c r="L17" s="185">
        <f t="shared" ref="L17:M17" si="21">D162</f>
        <v>25</v>
      </c>
      <c r="M17" s="185" t="str">
        <f t="shared" si="21"/>
        <v>0-30</v>
      </c>
      <c r="N17" s="142" t="s">
        <v>477</v>
      </c>
      <c r="O17" s="141">
        <f>AVERAGE(D17:E17)</f>
        <v>1.53</v>
      </c>
      <c r="P17" s="181">
        <f t="shared" si="3"/>
        <v>18.053419999999999</v>
      </c>
      <c r="Q17" s="181">
        <f t="shared" si="4"/>
        <v>28.838580000000004</v>
      </c>
      <c r="R17" s="181">
        <f t="shared" si="5"/>
        <v>10.785160000000005</v>
      </c>
      <c r="S17" s="181">
        <f t="shared" si="8"/>
        <v>17.5</v>
      </c>
      <c r="T17" s="181">
        <f t="shared" si="9"/>
        <v>27.5</v>
      </c>
      <c r="U17" s="181">
        <f t="shared" si="6"/>
        <v>10</v>
      </c>
      <c r="V17" s="85">
        <f t="shared" si="10"/>
        <v>12.5</v>
      </c>
      <c r="W17" s="85">
        <f t="shared" si="11"/>
        <v>22.5</v>
      </c>
      <c r="X17" s="85">
        <f t="shared" si="12"/>
        <v>10</v>
      </c>
      <c r="Y17" s="181">
        <f t="shared" si="13"/>
        <v>0.59000000000000008</v>
      </c>
      <c r="Z17" s="181">
        <f t="shared" si="14"/>
        <v>2.4699999999999998</v>
      </c>
      <c r="AA17" s="181">
        <f t="shared" si="15"/>
        <v>1.8799999999999997</v>
      </c>
      <c r="AB17" s="1" t="s">
        <v>24</v>
      </c>
      <c r="AC17" s="1">
        <v>0.5</v>
      </c>
      <c r="AD17" s="1" t="s">
        <v>458</v>
      </c>
    </row>
    <row r="18" spans="1:30" x14ac:dyDescent="0.25">
      <c r="A18" s="72" t="s">
        <v>169</v>
      </c>
      <c r="B18" s="17">
        <v>23</v>
      </c>
      <c r="C18" s="16">
        <v>27</v>
      </c>
      <c r="D18" s="17">
        <v>1.06</v>
      </c>
      <c r="E18" s="165">
        <v>2</v>
      </c>
      <c r="F18" s="114">
        <v>23.446000000000002</v>
      </c>
      <c r="G18" s="74">
        <v>59.5</v>
      </c>
      <c r="H18" s="74">
        <f>F18+Övergödning!$B$4*G18</f>
        <v>23.446000000000002</v>
      </c>
      <c r="I18" s="74">
        <f t="shared" si="18"/>
        <v>20.74971</v>
      </c>
      <c r="J18" s="75">
        <f t="shared" si="19"/>
        <v>26.142290000000003</v>
      </c>
      <c r="K18" s="184">
        <f>C162</f>
        <v>20</v>
      </c>
      <c r="L18" s="185">
        <f t="shared" ref="L18:M18" si="22">D162</f>
        <v>25</v>
      </c>
      <c r="M18" s="185" t="str">
        <f t="shared" si="22"/>
        <v>0-30</v>
      </c>
      <c r="N18" s="143" t="s">
        <v>478</v>
      </c>
      <c r="O18" s="141">
        <f>AVERAGE(D18:E18)</f>
        <v>1.53</v>
      </c>
      <c r="P18" s="181">
        <f t="shared" si="3"/>
        <v>18.053419999999999</v>
      </c>
      <c r="Q18" s="181">
        <f t="shared" si="4"/>
        <v>28.838580000000004</v>
      </c>
      <c r="R18" s="181">
        <f t="shared" si="5"/>
        <v>10.785160000000005</v>
      </c>
      <c r="S18" s="181">
        <f t="shared" si="8"/>
        <v>17.5</v>
      </c>
      <c r="T18" s="181">
        <f t="shared" si="9"/>
        <v>27.5</v>
      </c>
      <c r="U18" s="181">
        <f t="shared" si="6"/>
        <v>10</v>
      </c>
      <c r="V18" s="85">
        <f t="shared" si="10"/>
        <v>21</v>
      </c>
      <c r="W18" s="85">
        <f t="shared" si="11"/>
        <v>29</v>
      </c>
      <c r="X18" s="85">
        <f t="shared" si="12"/>
        <v>8</v>
      </c>
      <c r="Y18" s="181">
        <f t="shared" si="13"/>
        <v>0.59000000000000008</v>
      </c>
      <c r="Z18" s="181">
        <f t="shared" si="14"/>
        <v>2.4699999999999998</v>
      </c>
      <c r="AA18" s="181">
        <f t="shared" si="15"/>
        <v>1.8799999999999997</v>
      </c>
      <c r="AB18" s="1" t="s">
        <v>24</v>
      </c>
      <c r="AC18" s="1">
        <v>0.5</v>
      </c>
      <c r="AD18" s="1" t="s">
        <v>458</v>
      </c>
    </row>
    <row r="19" spans="1:30" x14ac:dyDescent="0.25">
      <c r="A19" s="72" t="s">
        <v>170</v>
      </c>
      <c r="B19" s="108">
        <v>3</v>
      </c>
      <c r="C19" s="16">
        <v>3.5</v>
      </c>
      <c r="D19" s="110">
        <v>0.32</v>
      </c>
      <c r="E19" s="165">
        <v>0.47</v>
      </c>
      <c r="F19" s="114">
        <v>35.662999999999997</v>
      </c>
      <c r="G19" s="74">
        <v>38.825000000000003</v>
      </c>
      <c r="H19" s="74">
        <f>F19+Övergödning!$B$4*G19</f>
        <v>35.662999999999997</v>
      </c>
      <c r="I19" s="74">
        <f>0.885*H19</f>
        <v>31.561754999999998</v>
      </c>
      <c r="J19" s="75">
        <f>1.115*H19</f>
        <v>39.764244999999995</v>
      </c>
      <c r="K19" s="184">
        <f>C163</f>
        <v>37</v>
      </c>
      <c r="L19" s="185">
        <f t="shared" ref="L19:M19" si="23">D163</f>
        <v>43</v>
      </c>
      <c r="M19" s="185" t="str">
        <f t="shared" si="23"/>
        <v>20-40</v>
      </c>
      <c r="N19" s="143" t="s">
        <v>475</v>
      </c>
      <c r="O19" s="141">
        <v>0.44</v>
      </c>
      <c r="P19" s="181">
        <f t="shared" si="3"/>
        <v>27.460509999999999</v>
      </c>
      <c r="Q19" s="181">
        <f t="shared" si="4"/>
        <v>43.865489999999994</v>
      </c>
      <c r="R19" s="181">
        <f t="shared" si="5"/>
        <v>16.404979999999995</v>
      </c>
      <c r="S19" s="181">
        <f t="shared" si="8"/>
        <v>34</v>
      </c>
      <c r="T19" s="181">
        <f t="shared" si="9"/>
        <v>46</v>
      </c>
      <c r="U19" s="181">
        <f t="shared" si="6"/>
        <v>12</v>
      </c>
      <c r="V19" s="85">
        <f t="shared" si="10"/>
        <v>2.75</v>
      </c>
      <c r="W19" s="85">
        <f t="shared" si="11"/>
        <v>3.75</v>
      </c>
      <c r="X19" s="85">
        <f t="shared" si="12"/>
        <v>1</v>
      </c>
      <c r="Y19" s="181">
        <f t="shared" si="13"/>
        <v>0.2</v>
      </c>
      <c r="Z19" s="181">
        <f t="shared" si="14"/>
        <v>0.49999999999999994</v>
      </c>
      <c r="AA19" s="181">
        <f t="shared" si="15"/>
        <v>0.29999999999999993</v>
      </c>
      <c r="AB19" s="1" t="s">
        <v>24</v>
      </c>
      <c r="AC19" s="1">
        <v>0.7</v>
      </c>
      <c r="AD19" s="1" t="s">
        <v>458</v>
      </c>
    </row>
    <row r="20" spans="1:30" x14ac:dyDescent="0.25">
      <c r="A20" s="72" t="s">
        <v>171</v>
      </c>
      <c r="B20" s="108">
        <v>4.3</v>
      </c>
      <c r="C20" s="16">
        <v>5</v>
      </c>
      <c r="D20" s="108">
        <v>47</v>
      </c>
      <c r="E20" s="165">
        <v>55.4</v>
      </c>
      <c r="F20" s="114">
        <v>35.662999999999997</v>
      </c>
      <c r="G20" s="74">
        <v>38.825000000000003</v>
      </c>
      <c r="H20" s="74">
        <f>F20+Övergödning!$B$4*G20</f>
        <v>35.662999999999997</v>
      </c>
      <c r="I20" s="74">
        <f>0.885*H20</f>
        <v>31.561754999999998</v>
      </c>
      <c r="J20" s="75">
        <f>1.115*H20</f>
        <v>39.764244999999995</v>
      </c>
      <c r="K20" s="184">
        <f>C163</f>
        <v>37</v>
      </c>
      <c r="L20" s="185">
        <f t="shared" ref="L20:M20" si="24">D163</f>
        <v>43</v>
      </c>
      <c r="M20" s="185" t="str">
        <f t="shared" si="24"/>
        <v>20-40</v>
      </c>
      <c r="N20" s="143" t="s">
        <v>237</v>
      </c>
      <c r="O20" s="138">
        <v>53</v>
      </c>
      <c r="P20" s="181">
        <f t="shared" si="3"/>
        <v>27.460509999999999</v>
      </c>
      <c r="Q20" s="181">
        <f t="shared" si="4"/>
        <v>43.865489999999994</v>
      </c>
      <c r="R20" s="181">
        <f t="shared" si="5"/>
        <v>16.404979999999995</v>
      </c>
      <c r="S20" s="181">
        <f t="shared" si="8"/>
        <v>34</v>
      </c>
      <c r="T20" s="181">
        <f t="shared" si="9"/>
        <v>46</v>
      </c>
      <c r="U20" s="181">
        <f t="shared" si="6"/>
        <v>12</v>
      </c>
      <c r="V20" s="85"/>
      <c r="W20" s="85"/>
      <c r="X20" s="85"/>
      <c r="AB20" s="1" t="s">
        <v>25</v>
      </c>
      <c r="AC20" s="1">
        <v>1</v>
      </c>
      <c r="AD20" s="1" t="s">
        <v>457</v>
      </c>
    </row>
    <row r="21" spans="1:30" x14ac:dyDescent="0.25">
      <c r="A21" s="105" t="s">
        <v>17</v>
      </c>
      <c r="B21" s="109"/>
      <c r="C21" s="20"/>
      <c r="D21" s="18"/>
      <c r="E21" s="20"/>
      <c r="F21" s="191" t="s">
        <v>442</v>
      </c>
      <c r="G21" s="192" t="s">
        <v>442</v>
      </c>
      <c r="H21" s="192" t="s">
        <v>442</v>
      </c>
      <c r="I21" s="192" t="s">
        <v>442</v>
      </c>
      <c r="J21" s="193" t="s">
        <v>442</v>
      </c>
      <c r="K21" s="117"/>
      <c r="L21" s="76"/>
      <c r="M21" s="76"/>
      <c r="N21" s="139"/>
      <c r="O21" s="139"/>
    </row>
    <row r="22" spans="1:30" x14ac:dyDescent="0.25">
      <c r="A22" s="57"/>
      <c r="B22" s="55"/>
      <c r="C22" s="10"/>
      <c r="D22" s="10"/>
      <c r="E22" s="129"/>
      <c r="F22" s="10"/>
      <c r="G22" s="10"/>
      <c r="H22" s="10"/>
      <c r="AD22" s="1" t="s">
        <v>458</v>
      </c>
    </row>
    <row r="24" spans="1:30" x14ac:dyDescent="0.25">
      <c r="A24" s="1" t="s">
        <v>234</v>
      </c>
      <c r="B24" s="1" t="str">
        <f>IF(OR(Inriktning="Enbart växtodling",Inriktning="Eko enbart växtodling"),"Ja","Nej")</f>
        <v>Nej</v>
      </c>
    </row>
    <row r="25" spans="1:30" x14ac:dyDescent="0.25">
      <c r="A25" s="1" t="s">
        <v>235</v>
      </c>
      <c r="B25" s="1" t="str">
        <f>IF(OR(Inriktning="Mjölk",Inriktning="Eko Mjölk"),"Nej","Ja")</f>
        <v>Ja</v>
      </c>
    </row>
    <row r="26" spans="1:30" x14ac:dyDescent="0.25">
      <c r="A26" s="1" t="s">
        <v>238</v>
      </c>
      <c r="B26" s="1" t="str">
        <f>IF(OR(Inriktning="Mjölk",Inriktning="Eko Mjölk"),"Ja","Nej")</f>
        <v>Nej</v>
      </c>
    </row>
    <row r="27" spans="1:30" x14ac:dyDescent="0.25">
      <c r="A27" s="1" t="s">
        <v>440</v>
      </c>
      <c r="B27" s="1" t="e">
        <f>VLOOKUP(Inriktning,Tabellen,28,FALSE)</f>
        <v>#N/A</v>
      </c>
    </row>
    <row r="29" spans="1:30" x14ac:dyDescent="0.25">
      <c r="A29" s="10"/>
      <c r="B29" s="10"/>
      <c r="C29" s="10"/>
      <c r="D29" s="10"/>
      <c r="E29" s="10"/>
      <c r="F29" s="10"/>
      <c r="G29" s="10"/>
      <c r="H29" s="10"/>
    </row>
    <row r="30" spans="1:30" x14ac:dyDescent="0.25">
      <c r="A30" s="10"/>
      <c r="B30" s="10"/>
      <c r="C30" s="10"/>
      <c r="D30" s="10"/>
      <c r="E30" s="10"/>
      <c r="F30" s="10"/>
      <c r="G30" s="10"/>
      <c r="H30" s="10"/>
    </row>
    <row r="31" spans="1:30" ht="13" x14ac:dyDescent="0.3">
      <c r="A31" s="10"/>
      <c r="B31" s="10"/>
      <c r="C31" s="32" t="s">
        <v>5</v>
      </c>
      <c r="D31" s="12"/>
      <c r="E31" s="71" t="s">
        <v>8</v>
      </c>
      <c r="F31" s="12"/>
      <c r="G31" s="71" t="s">
        <v>241</v>
      </c>
      <c r="H31" s="13"/>
    </row>
    <row r="32" spans="1:30" x14ac:dyDescent="0.25">
      <c r="A32" s="10" t="s">
        <v>21</v>
      </c>
      <c r="B32" s="10"/>
      <c r="C32" s="17" t="s">
        <v>19</v>
      </c>
      <c r="D32" s="15" t="s">
        <v>20</v>
      </c>
      <c r="E32" s="15" t="s">
        <v>19</v>
      </c>
      <c r="F32" s="15" t="s">
        <v>20</v>
      </c>
      <c r="G32" s="15"/>
      <c r="H32" s="16"/>
    </row>
    <row r="33" spans="1:8" x14ac:dyDescent="0.25">
      <c r="A33" s="10"/>
      <c r="B33" s="10"/>
      <c r="C33" s="18">
        <v>50</v>
      </c>
      <c r="D33" s="19">
        <v>75</v>
      </c>
      <c r="E33" s="19">
        <v>1</v>
      </c>
      <c r="F33" s="19">
        <v>90</v>
      </c>
      <c r="G33" s="19">
        <v>0.01</v>
      </c>
      <c r="H33" s="20">
        <v>99.99</v>
      </c>
    </row>
    <row r="34" spans="1:8" x14ac:dyDescent="0.25">
      <c r="A34" s="10"/>
      <c r="B34" s="10"/>
      <c r="C34" s="15">
        <f>2*(C33-C35)+C35</f>
        <v>37.5</v>
      </c>
      <c r="D34" s="15">
        <f>2*(D33-C35)+C35</f>
        <v>87.5</v>
      </c>
      <c r="E34" s="15">
        <f>2*(E33-E35)+E35</f>
        <v>-43.5</v>
      </c>
      <c r="F34" s="15">
        <f>2*(F33-E35)+E35</f>
        <v>134.5</v>
      </c>
      <c r="G34" s="15"/>
      <c r="H34" s="15"/>
    </row>
    <row r="35" spans="1:8" x14ac:dyDescent="0.25">
      <c r="A35" s="10"/>
      <c r="B35" s="10"/>
      <c r="C35" s="15">
        <f>AVERAGE(C33:D33)</f>
        <v>62.5</v>
      </c>
      <c r="D35" s="15">
        <f>D34-C34</f>
        <v>50</v>
      </c>
      <c r="E35" s="15">
        <f>AVERAGE(E33:F33)</f>
        <v>45.5</v>
      </c>
      <c r="F35" s="15">
        <f>F34-E34</f>
        <v>178</v>
      </c>
      <c r="G35" s="15"/>
      <c r="H35" s="15"/>
    </row>
    <row r="36" spans="1:8" x14ac:dyDescent="0.25">
      <c r="A36" s="10"/>
      <c r="B36" s="10"/>
      <c r="C36" s="10"/>
      <c r="D36" s="10"/>
      <c r="E36" s="10"/>
      <c r="F36" s="10"/>
      <c r="G36" s="10"/>
      <c r="H36" s="10"/>
    </row>
    <row r="37" spans="1:8" x14ac:dyDescent="0.25">
      <c r="A37" s="39" t="s">
        <v>24</v>
      </c>
      <c r="B37" s="13">
        <v>1</v>
      </c>
      <c r="C37" s="10" t="s">
        <v>226</v>
      </c>
      <c r="D37" s="10"/>
      <c r="E37" s="10"/>
      <c r="F37" s="10"/>
      <c r="G37" s="10"/>
      <c r="H37" s="10"/>
    </row>
    <row r="38" spans="1:8" x14ac:dyDescent="0.25">
      <c r="A38" s="17" t="s">
        <v>25</v>
      </c>
      <c r="B38" s="16">
        <v>0</v>
      </c>
      <c r="C38" s="10" t="s">
        <v>224</v>
      </c>
      <c r="D38" s="10"/>
      <c r="E38" s="10"/>
      <c r="F38" s="10"/>
      <c r="G38" s="10"/>
      <c r="H38" s="10"/>
    </row>
    <row r="39" spans="1:8" x14ac:dyDescent="0.25">
      <c r="A39" s="18" t="s">
        <v>26</v>
      </c>
      <c r="B39" s="20"/>
      <c r="C39" s="10"/>
      <c r="D39" s="10"/>
      <c r="E39" s="10"/>
      <c r="F39" s="10"/>
      <c r="G39" s="10"/>
      <c r="H39" s="10"/>
    </row>
    <row r="40" spans="1:8" x14ac:dyDescent="0.25">
      <c r="A40" s="10"/>
      <c r="B40" s="10"/>
      <c r="C40" s="10"/>
      <c r="D40" s="10"/>
      <c r="E40" s="10"/>
      <c r="F40" s="10"/>
      <c r="G40" s="10"/>
      <c r="H40" s="10"/>
    </row>
    <row r="41" spans="1:8" x14ac:dyDescent="0.25">
      <c r="A41" s="39" t="s">
        <v>24</v>
      </c>
      <c r="B41" s="13">
        <v>1</v>
      </c>
      <c r="C41" s="10"/>
      <c r="D41" s="10"/>
      <c r="E41" s="10"/>
      <c r="F41" s="10"/>
      <c r="G41" s="10"/>
      <c r="H41" s="10"/>
    </row>
    <row r="42" spans="1:8" x14ac:dyDescent="0.25">
      <c r="A42" s="17" t="s">
        <v>39</v>
      </c>
      <c r="B42" s="16">
        <v>0.5</v>
      </c>
      <c r="C42" s="10"/>
      <c r="D42" s="10"/>
      <c r="E42" s="10"/>
      <c r="F42" s="10"/>
      <c r="G42" s="10"/>
      <c r="H42" s="10"/>
    </row>
    <row r="43" spans="1:8" x14ac:dyDescent="0.25">
      <c r="A43" s="17" t="s">
        <v>25</v>
      </c>
      <c r="B43" s="16">
        <v>0</v>
      </c>
      <c r="C43" s="10"/>
      <c r="D43" s="10"/>
      <c r="E43" s="10"/>
      <c r="F43" s="10"/>
      <c r="G43" s="10"/>
      <c r="H43" s="10"/>
    </row>
    <row r="44" spans="1:8" x14ac:dyDescent="0.25">
      <c r="A44" s="18" t="s">
        <v>26</v>
      </c>
      <c r="B44" s="20"/>
      <c r="C44" s="10"/>
      <c r="D44" s="10"/>
      <c r="E44" s="10"/>
      <c r="F44" s="10"/>
      <c r="G44" s="10"/>
      <c r="H44" s="10"/>
    </row>
    <row r="45" spans="1:8" x14ac:dyDescent="0.25">
      <c r="A45" s="10"/>
      <c r="B45" s="10"/>
      <c r="C45" s="10"/>
      <c r="D45" s="10"/>
      <c r="E45" s="10"/>
      <c r="F45" s="10"/>
      <c r="G45" s="10"/>
      <c r="H45" s="10"/>
    </row>
    <row r="46" spans="1:8" x14ac:dyDescent="0.25">
      <c r="A46" s="10"/>
      <c r="B46" s="10"/>
      <c r="C46" s="10"/>
      <c r="D46" s="10"/>
      <c r="E46" s="10"/>
      <c r="F46" s="10"/>
      <c r="G46" s="10"/>
      <c r="H46" s="10"/>
    </row>
    <row r="47" spans="1:8" x14ac:dyDescent="0.25">
      <c r="A47" s="39">
        <v>1</v>
      </c>
      <c r="B47" s="13"/>
      <c r="C47" s="10"/>
      <c r="D47" s="10"/>
      <c r="E47" s="10"/>
      <c r="F47" s="10"/>
      <c r="G47" s="10"/>
      <c r="H47" s="10"/>
    </row>
    <row r="48" spans="1:8" x14ac:dyDescent="0.25">
      <c r="A48" s="17">
        <v>2</v>
      </c>
      <c r="B48" s="16"/>
      <c r="C48" s="10"/>
      <c r="D48" s="10"/>
      <c r="E48" s="10"/>
      <c r="F48" s="10"/>
      <c r="G48" s="10"/>
      <c r="H48" s="10"/>
    </row>
    <row r="49" spans="1:10" x14ac:dyDescent="0.25">
      <c r="A49" s="17">
        <v>3</v>
      </c>
      <c r="B49" s="16"/>
      <c r="C49" s="10"/>
      <c r="D49" s="10"/>
      <c r="E49" s="10"/>
      <c r="F49" s="10"/>
      <c r="G49" s="10"/>
      <c r="H49" s="10"/>
    </row>
    <row r="50" spans="1:10" x14ac:dyDescent="0.25">
      <c r="A50" s="17">
        <v>4</v>
      </c>
      <c r="B50" s="16"/>
      <c r="C50" s="10"/>
      <c r="D50" s="10"/>
      <c r="E50" s="10"/>
      <c r="F50" s="10"/>
      <c r="G50" s="10"/>
      <c r="H50" s="10"/>
    </row>
    <row r="51" spans="1:10" x14ac:dyDescent="0.25">
      <c r="A51" s="17">
        <v>5</v>
      </c>
      <c r="B51" s="16"/>
      <c r="C51" s="10"/>
      <c r="D51" s="10"/>
      <c r="E51" s="10"/>
      <c r="F51" s="10"/>
      <c r="G51" s="10"/>
      <c r="H51" s="10"/>
    </row>
    <row r="52" spans="1:10" x14ac:dyDescent="0.25">
      <c r="A52" s="18" t="s">
        <v>26</v>
      </c>
      <c r="B52" s="20"/>
      <c r="C52" s="10"/>
      <c r="D52" s="10"/>
      <c r="E52" s="10"/>
      <c r="F52" s="10"/>
      <c r="G52" s="10"/>
      <c r="H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</row>
    <row r="56" spans="1:10" ht="13" x14ac:dyDescent="0.3">
      <c r="A56" s="32" t="s">
        <v>53</v>
      </c>
      <c r="B56" s="12" t="s">
        <v>54</v>
      </c>
      <c r="C56" s="70" t="s">
        <v>45</v>
      </c>
      <c r="D56" s="107"/>
      <c r="E56" s="12"/>
      <c r="F56" s="12"/>
      <c r="G56" s="12"/>
      <c r="H56" s="12"/>
      <c r="I56" s="13"/>
      <c r="J56" s="93"/>
    </row>
    <row r="57" spans="1:10" x14ac:dyDescent="0.25">
      <c r="A57" s="17" t="s">
        <v>46</v>
      </c>
      <c r="B57" s="15">
        <v>1</v>
      </c>
      <c r="C57" s="15"/>
      <c r="D57" s="57" t="s">
        <v>46</v>
      </c>
      <c r="E57" s="57" t="s">
        <v>47</v>
      </c>
      <c r="F57" s="57" t="s">
        <v>48</v>
      </c>
      <c r="G57" s="57" t="s">
        <v>49</v>
      </c>
      <c r="H57" s="57" t="s">
        <v>50</v>
      </c>
      <c r="I57" s="90" t="s">
        <v>51</v>
      </c>
      <c r="J57" s="93"/>
    </row>
    <row r="58" spans="1:10" x14ac:dyDescent="0.25">
      <c r="A58" s="17" t="s">
        <v>47</v>
      </c>
      <c r="B58" s="15">
        <v>2</v>
      </c>
      <c r="C58" s="15" t="s">
        <v>430</v>
      </c>
      <c r="D58" s="15">
        <v>10</v>
      </c>
      <c r="E58" s="15">
        <v>5</v>
      </c>
      <c r="F58" s="15">
        <v>0</v>
      </c>
      <c r="G58" s="15">
        <v>-10</v>
      </c>
      <c r="H58" s="15">
        <v>-20</v>
      </c>
      <c r="I58" s="16">
        <v>-20</v>
      </c>
      <c r="J58" s="93"/>
    </row>
    <row r="59" spans="1:10" x14ac:dyDescent="0.25">
      <c r="A59" s="17" t="s">
        <v>48</v>
      </c>
      <c r="B59" s="15">
        <v>3</v>
      </c>
      <c r="C59" s="15" t="s">
        <v>52</v>
      </c>
      <c r="D59" s="15">
        <v>15</v>
      </c>
      <c r="E59" s="15">
        <v>10</v>
      </c>
      <c r="F59" s="15">
        <v>5</v>
      </c>
      <c r="G59" s="15">
        <v>-10</v>
      </c>
      <c r="H59" s="15">
        <v>-25</v>
      </c>
      <c r="I59" s="16">
        <v>-25</v>
      </c>
      <c r="J59" s="93"/>
    </row>
    <row r="60" spans="1:10" x14ac:dyDescent="0.25">
      <c r="A60" s="17" t="s">
        <v>49</v>
      </c>
      <c r="B60" s="15">
        <v>4</v>
      </c>
      <c r="C60" s="15" t="s">
        <v>431</v>
      </c>
      <c r="D60" s="15">
        <v>20</v>
      </c>
      <c r="E60" s="15">
        <v>15</v>
      </c>
      <c r="F60" s="15">
        <v>10</v>
      </c>
      <c r="G60" s="15">
        <v>0</v>
      </c>
      <c r="H60" s="15">
        <v>-15</v>
      </c>
      <c r="I60" s="16">
        <v>-20</v>
      </c>
      <c r="J60" s="93"/>
    </row>
    <row r="61" spans="1:10" x14ac:dyDescent="0.25">
      <c r="A61" s="17" t="s">
        <v>50</v>
      </c>
      <c r="B61" s="15">
        <v>5</v>
      </c>
      <c r="C61" s="15" t="s">
        <v>432</v>
      </c>
      <c r="D61" s="15">
        <v>20</v>
      </c>
      <c r="E61" s="15">
        <v>15</v>
      </c>
      <c r="F61" s="15">
        <v>10</v>
      </c>
      <c r="G61" s="15">
        <v>0</v>
      </c>
      <c r="H61" s="15">
        <v>-10</v>
      </c>
      <c r="I61" s="16">
        <v>-15</v>
      </c>
      <c r="J61" s="93"/>
    </row>
    <row r="62" spans="1:10" x14ac:dyDescent="0.25">
      <c r="A62" s="17" t="s">
        <v>51</v>
      </c>
      <c r="B62" s="15">
        <v>6</v>
      </c>
      <c r="C62" s="15" t="s">
        <v>175</v>
      </c>
      <c r="D62" s="15"/>
      <c r="E62" s="15"/>
      <c r="F62" s="15"/>
      <c r="G62" s="15"/>
      <c r="H62" s="15"/>
      <c r="I62" s="16"/>
      <c r="J62" s="93"/>
    </row>
    <row r="63" spans="1:10" ht="14" x14ac:dyDescent="0.3">
      <c r="A63" s="17" t="s">
        <v>54</v>
      </c>
      <c r="B63" s="15" t="e">
        <f>VLOOKUP(Övergödning!B8,Tabeller!A57:B62,2,FALSE)</f>
        <v>#N/A</v>
      </c>
      <c r="C63" s="134" t="e">
        <f>VLOOKUP(Övergödning!B7,Tabeller!$C$58:$I$61,VLOOKUP(Övergödning!B8,Tabeller!A57:B62,2,FALSE)+1,FALSE)</f>
        <v>#N/A</v>
      </c>
      <c r="D63" s="15"/>
      <c r="E63" s="15"/>
      <c r="F63" s="15"/>
      <c r="G63" s="15"/>
      <c r="H63" s="15"/>
      <c r="I63" s="16"/>
      <c r="J63" s="93"/>
    </row>
    <row r="64" spans="1:10" x14ac:dyDescent="0.25">
      <c r="A64" s="18" t="s">
        <v>55</v>
      </c>
      <c r="B64" s="19">
        <v>5</v>
      </c>
      <c r="C64" s="19"/>
      <c r="D64" s="19"/>
      <c r="E64" s="19"/>
      <c r="F64" s="19"/>
      <c r="G64" s="19"/>
      <c r="H64" s="19"/>
      <c r="I64" s="20"/>
      <c r="J64" s="93"/>
    </row>
    <row r="65" spans="1:8" x14ac:dyDescent="0.25">
      <c r="A65" s="10"/>
      <c r="B65" s="10"/>
    </row>
    <row r="66" spans="1:8" ht="13" x14ac:dyDescent="0.3">
      <c r="A66" s="11" t="s">
        <v>349</v>
      </c>
      <c r="B66" s="55" t="s">
        <v>224</v>
      </c>
      <c r="C66" s="55" t="s">
        <v>350</v>
      </c>
      <c r="D66" s="1" t="s">
        <v>319</v>
      </c>
      <c r="E66" s="1" t="s">
        <v>43</v>
      </c>
      <c r="F66" s="1" t="s">
        <v>344</v>
      </c>
      <c r="G66" s="1" t="s">
        <v>259</v>
      </c>
    </row>
    <row r="67" spans="1:8" x14ac:dyDescent="0.25">
      <c r="B67" s="186">
        <v>0.25</v>
      </c>
      <c r="C67" s="186">
        <v>0.5</v>
      </c>
      <c r="D67" s="84">
        <v>0</v>
      </c>
      <c r="E67" s="84">
        <v>0.75</v>
      </c>
      <c r="F67" s="84">
        <f>E67-D67</f>
        <v>0.75</v>
      </c>
      <c r="G67" s="1" t="e">
        <f>Resultattabell!C10/F67</f>
        <v>#VALUE!</v>
      </c>
    </row>
    <row r="68" spans="1:8" x14ac:dyDescent="0.25">
      <c r="A68" s="10"/>
      <c r="B68" s="10"/>
    </row>
    <row r="69" spans="1:8" x14ac:dyDescent="0.25">
      <c r="A69" s="39" t="s">
        <v>300</v>
      </c>
      <c r="B69" s="12"/>
      <c r="C69" s="130" t="s">
        <v>43</v>
      </c>
      <c r="D69" s="107" t="s">
        <v>219</v>
      </c>
      <c r="E69" s="5"/>
    </row>
    <row r="70" spans="1:8" x14ac:dyDescent="0.25">
      <c r="A70" s="17" t="s">
        <v>229</v>
      </c>
      <c r="B70" s="15"/>
      <c r="C70" s="93">
        <f>IF(Övergödning!B22="Inte aktuellt",0,1)</f>
        <v>1</v>
      </c>
      <c r="D70" s="93" t="e">
        <f>VLOOKUP(Övergödning!B22,A$37:B$39,2,FALSE)</f>
        <v>#N/A</v>
      </c>
      <c r="E70" s="6"/>
    </row>
    <row r="71" spans="1:8" x14ac:dyDescent="0.25">
      <c r="A71" s="17" t="s">
        <v>230</v>
      </c>
      <c r="B71" s="15"/>
      <c r="C71" s="93">
        <f>IF(Övergödning!B24="Inte aktuellt",0,1)</f>
        <v>1</v>
      </c>
      <c r="D71" s="93" t="e">
        <f>VLOOKUP(Övergödning!B24,A$41:B$44,2,FALSE)</f>
        <v>#N/A</v>
      </c>
      <c r="E71" s="6"/>
    </row>
    <row r="72" spans="1:8" x14ac:dyDescent="0.25">
      <c r="A72" s="17" t="s">
        <v>231</v>
      </c>
      <c r="B72" s="15"/>
      <c r="C72" s="93">
        <f>IF(Övergödning!B26="Inte aktuellt",0,1)</f>
        <v>1</v>
      </c>
      <c r="D72" s="93" t="e">
        <f>VLOOKUP(Övergödning!B26,A$41:B$44,2,FALSE)</f>
        <v>#N/A</v>
      </c>
      <c r="E72" s="6"/>
    </row>
    <row r="73" spans="1:8" x14ac:dyDescent="0.25">
      <c r="A73" s="17" t="s">
        <v>232</v>
      </c>
      <c r="B73" s="15"/>
      <c r="C73" s="93">
        <f>IF(Övergödning!B28="Inte aktuellt",0,1)</f>
        <v>1</v>
      </c>
      <c r="D73" s="93" t="e">
        <f>VLOOKUP(Övergödning!B28,A$37:B$39,2,FALSE)</f>
        <v>#N/A</v>
      </c>
      <c r="E73" s="6"/>
    </row>
    <row r="74" spans="1:8" x14ac:dyDescent="0.25">
      <c r="A74" s="17"/>
      <c r="B74" s="15"/>
      <c r="C74" s="93"/>
      <c r="D74" s="93"/>
      <c r="E74" s="6"/>
    </row>
    <row r="75" spans="1:8" x14ac:dyDescent="0.25">
      <c r="A75" s="17" t="s">
        <v>125</v>
      </c>
      <c r="B75" s="15"/>
      <c r="C75" s="93">
        <f>SUM(C70:C73)</f>
        <v>4</v>
      </c>
      <c r="D75" s="93" t="e">
        <f>SUM(D70:D73)</f>
        <v>#N/A</v>
      </c>
      <c r="E75" s="131" t="e">
        <f>IF(D75=0,"",D75/C75)</f>
        <v>#N/A</v>
      </c>
      <c r="G75" s="1" t="str">
        <f>_xlfn.IFNA(D75,"")</f>
        <v/>
      </c>
    </row>
    <row r="76" spans="1:8" x14ac:dyDescent="0.25">
      <c r="A76" s="17"/>
      <c r="B76" s="15"/>
      <c r="C76" s="93" t="s">
        <v>233</v>
      </c>
      <c r="D76" s="93" t="s">
        <v>20</v>
      </c>
      <c r="E76" s="6"/>
    </row>
    <row r="77" spans="1:8" x14ac:dyDescent="0.25">
      <c r="A77" s="18"/>
      <c r="B77" s="19"/>
      <c r="C77" s="132">
        <v>0.33</v>
      </c>
      <c r="D77" s="132">
        <v>0.67</v>
      </c>
      <c r="E77" s="133" t="e">
        <f>IF(E75="","",IF(E75&gt;D77,"Grön",IF(E75&lt;C77,"Röd","Gul")))</f>
        <v>#N/A</v>
      </c>
    </row>
    <row r="78" spans="1:8" x14ac:dyDescent="0.25">
      <c r="A78" s="10"/>
      <c r="B78" s="10"/>
    </row>
    <row r="79" spans="1:8" x14ac:dyDescent="0.25">
      <c r="A79" s="10"/>
      <c r="B79" s="10"/>
    </row>
    <row r="80" spans="1:8" x14ac:dyDescent="0.25">
      <c r="A80" s="10"/>
      <c r="B80" s="10"/>
      <c r="C80" s="10"/>
      <c r="D80" s="10"/>
      <c r="E80" s="10"/>
      <c r="F80" s="10"/>
      <c r="G80" s="10"/>
      <c r="H80" s="10"/>
    </row>
    <row r="81" spans="1:8" x14ac:dyDescent="0.25">
      <c r="A81" s="39"/>
      <c r="B81" s="12" t="s">
        <v>97</v>
      </c>
      <c r="C81" s="12" t="s">
        <v>92</v>
      </c>
      <c r="D81" s="12" t="s">
        <v>93</v>
      </c>
      <c r="E81" s="12" t="s">
        <v>94</v>
      </c>
      <c r="F81" s="12" t="s">
        <v>95</v>
      </c>
      <c r="G81" s="13" t="s">
        <v>98</v>
      </c>
      <c r="H81" s="10"/>
    </row>
    <row r="82" spans="1:8" x14ac:dyDescent="0.25">
      <c r="A82" s="17" t="s">
        <v>62</v>
      </c>
      <c r="B82" s="15">
        <f>IF('Biologisk mångfald'!D5="Inte aktuellt",0,1)</f>
        <v>1</v>
      </c>
      <c r="C82" s="15">
        <v>1</v>
      </c>
      <c r="D82" s="15">
        <v>1</v>
      </c>
      <c r="E82" s="15">
        <v>1</v>
      </c>
      <c r="F82" s="15">
        <v>1</v>
      </c>
      <c r="G82" s="16">
        <f>IF('Biologisk mångfald'!D5="Ja",1,0)</f>
        <v>0</v>
      </c>
      <c r="H82" s="10"/>
    </row>
    <row r="83" spans="1:8" x14ac:dyDescent="0.25">
      <c r="A83" s="17" t="s">
        <v>63</v>
      </c>
      <c r="B83" s="15">
        <f>IF('Biologisk mångfald'!D6="Inte aktuellt",0,1)</f>
        <v>1</v>
      </c>
      <c r="C83" s="15">
        <v>1</v>
      </c>
      <c r="D83" s="15">
        <v>1</v>
      </c>
      <c r="E83" s="15">
        <v>0</v>
      </c>
      <c r="F83" s="15">
        <v>0</v>
      </c>
      <c r="G83" s="16">
        <f>IF('Biologisk mångfald'!D6="Ja",1,0)</f>
        <v>0</v>
      </c>
      <c r="H83" s="10"/>
    </row>
    <row r="84" spans="1:8" x14ac:dyDescent="0.25">
      <c r="A84" s="17" t="s">
        <v>64</v>
      </c>
      <c r="B84" s="15">
        <f>IF('Biologisk mångfald'!D7="Inte aktuellt",0,1)</f>
        <v>1</v>
      </c>
      <c r="C84" s="15">
        <v>1</v>
      </c>
      <c r="D84" s="15">
        <v>0</v>
      </c>
      <c r="E84" s="15">
        <v>0</v>
      </c>
      <c r="F84" s="15">
        <v>0</v>
      </c>
      <c r="G84" s="16">
        <f>IF('Biologisk mångfald'!D7="Ja",1,0)</f>
        <v>0</v>
      </c>
      <c r="H84" s="10"/>
    </row>
    <row r="85" spans="1:8" x14ac:dyDescent="0.25">
      <c r="A85" s="17" t="s">
        <v>65</v>
      </c>
      <c r="B85" s="15">
        <f>IF('Biologisk mångfald'!D8="Inte aktuellt",0,1)</f>
        <v>1</v>
      </c>
      <c r="C85" s="15">
        <v>1</v>
      </c>
      <c r="D85" s="15">
        <v>1</v>
      </c>
      <c r="E85" s="15">
        <v>1</v>
      </c>
      <c r="F85" s="15">
        <v>1</v>
      </c>
      <c r="G85" s="16">
        <f>IF('Biologisk mångfald'!D8="Ja",1,0)</f>
        <v>0</v>
      </c>
      <c r="H85" s="10"/>
    </row>
    <row r="86" spans="1:8" x14ac:dyDescent="0.25">
      <c r="A86" s="17" t="s">
        <v>66</v>
      </c>
      <c r="B86" s="15">
        <f>IF('Biologisk mångfald'!D9="Inte aktuellt",0,1)</f>
        <v>1</v>
      </c>
      <c r="C86" s="15">
        <v>1</v>
      </c>
      <c r="D86" s="15">
        <v>0</v>
      </c>
      <c r="E86" s="15">
        <v>0</v>
      </c>
      <c r="F86" s="15">
        <v>0</v>
      </c>
      <c r="G86" s="16">
        <f>IF('Biologisk mångfald'!D9="Ja",1,0)</f>
        <v>0</v>
      </c>
      <c r="H86" s="10"/>
    </row>
    <row r="87" spans="1:8" x14ac:dyDescent="0.25">
      <c r="A87" s="17" t="s">
        <v>67</v>
      </c>
      <c r="B87" s="15">
        <f>IF('Biologisk mångfald'!D10="Inte aktuellt",0,1)</f>
        <v>1</v>
      </c>
      <c r="C87" s="15">
        <v>1</v>
      </c>
      <c r="D87" s="15">
        <v>0</v>
      </c>
      <c r="E87" s="15">
        <v>0</v>
      </c>
      <c r="F87" s="15">
        <v>0</v>
      </c>
      <c r="G87" s="16">
        <f>IF('Biologisk mångfald'!D10="Ja",1,0)</f>
        <v>0</v>
      </c>
      <c r="H87" s="10"/>
    </row>
    <row r="88" spans="1:8" x14ac:dyDescent="0.25">
      <c r="A88" s="17" t="s">
        <v>68</v>
      </c>
      <c r="B88" s="15">
        <f>IF('Biologisk mångfald'!D11="Inte aktuellt",0,1)</f>
        <v>1</v>
      </c>
      <c r="C88" s="15">
        <v>1</v>
      </c>
      <c r="D88" s="15">
        <v>0</v>
      </c>
      <c r="E88" s="15">
        <v>0</v>
      </c>
      <c r="F88" s="15">
        <v>0</v>
      </c>
      <c r="G88" s="16">
        <f>IF('Biologisk mångfald'!D11="Ja",1,0)</f>
        <v>0</v>
      </c>
      <c r="H88" s="10"/>
    </row>
    <row r="89" spans="1:8" x14ac:dyDescent="0.25">
      <c r="A89" s="17" t="s">
        <v>78</v>
      </c>
      <c r="B89" s="15">
        <f>IF('Biologisk mångfald'!D12="Inte aktuellt",0,1)</f>
        <v>1</v>
      </c>
      <c r="C89" s="15">
        <v>1</v>
      </c>
      <c r="D89" s="15">
        <v>0</v>
      </c>
      <c r="E89" s="15">
        <v>0</v>
      </c>
      <c r="F89" s="15">
        <v>0</v>
      </c>
      <c r="G89" s="16">
        <f>IF('Biologisk mångfald'!D12="Ja",1,0)</f>
        <v>0</v>
      </c>
      <c r="H89" s="10"/>
    </row>
    <row r="90" spans="1:8" x14ac:dyDescent="0.25">
      <c r="A90" s="17" t="s">
        <v>96</v>
      </c>
      <c r="B90" s="15">
        <f>IF('Biologisk mångfald'!D13="Inte aktuellt",0,1)</f>
        <v>1</v>
      </c>
      <c r="C90" s="15">
        <v>0</v>
      </c>
      <c r="D90" s="15">
        <v>1</v>
      </c>
      <c r="E90" s="15">
        <v>1</v>
      </c>
      <c r="F90" s="15">
        <v>1</v>
      </c>
      <c r="G90" s="16">
        <f>IF('Biologisk mångfald'!D13="Ja",1,0)</f>
        <v>0</v>
      </c>
      <c r="H90" s="10"/>
    </row>
    <row r="91" spans="1:8" x14ac:dyDescent="0.25">
      <c r="A91" s="17" t="s">
        <v>69</v>
      </c>
      <c r="B91" s="15">
        <f>IF('Biologisk mångfald'!D14="Inte aktuellt",0,1)</f>
        <v>1</v>
      </c>
      <c r="C91" s="15">
        <v>0</v>
      </c>
      <c r="D91" s="15">
        <v>1</v>
      </c>
      <c r="E91" s="15">
        <v>1</v>
      </c>
      <c r="F91" s="15">
        <v>1</v>
      </c>
      <c r="G91" s="16">
        <f>IF('Biologisk mångfald'!D14="Ja",1,0)</f>
        <v>0</v>
      </c>
      <c r="H91" s="10"/>
    </row>
    <row r="92" spans="1:8" x14ac:dyDescent="0.25">
      <c r="A92" s="17" t="s">
        <v>70</v>
      </c>
      <c r="B92" s="15">
        <f>IF('Biologisk mångfald'!D15="Inte aktuellt",0,1)</f>
        <v>1</v>
      </c>
      <c r="C92" s="15">
        <v>0</v>
      </c>
      <c r="D92" s="15">
        <v>1</v>
      </c>
      <c r="E92" s="15">
        <v>1</v>
      </c>
      <c r="F92" s="15">
        <v>1</v>
      </c>
      <c r="G92" s="16">
        <f>IF('Biologisk mångfald'!D15="Ja",1,0)</f>
        <v>0</v>
      </c>
      <c r="H92" s="10"/>
    </row>
    <row r="93" spans="1:8" x14ac:dyDescent="0.25">
      <c r="A93" s="17" t="s">
        <v>71</v>
      </c>
      <c r="B93" s="15">
        <f>IF('Biologisk mångfald'!D16="Inte aktuellt",0,1)</f>
        <v>1</v>
      </c>
      <c r="C93" s="15">
        <v>0</v>
      </c>
      <c r="D93" s="15">
        <v>1</v>
      </c>
      <c r="E93" s="15">
        <v>1</v>
      </c>
      <c r="F93" s="15">
        <v>1</v>
      </c>
      <c r="G93" s="16">
        <f>IF('Biologisk mångfald'!D16="Ja",1,0)</f>
        <v>0</v>
      </c>
      <c r="H93" s="10"/>
    </row>
    <row r="94" spans="1:8" x14ac:dyDescent="0.25">
      <c r="A94" s="17" t="s">
        <v>72</v>
      </c>
      <c r="B94" s="15">
        <f>IF('Biologisk mångfald'!D17="Inte aktuellt",0,1)</f>
        <v>1</v>
      </c>
      <c r="C94" s="15">
        <v>0</v>
      </c>
      <c r="D94" s="15">
        <v>0</v>
      </c>
      <c r="E94" s="15">
        <v>1</v>
      </c>
      <c r="F94" s="15">
        <v>1</v>
      </c>
      <c r="G94" s="16">
        <f>IF('Biologisk mångfald'!D17="Ja",1,0)</f>
        <v>0</v>
      </c>
      <c r="H94" s="10"/>
    </row>
    <row r="95" spans="1:8" x14ac:dyDescent="0.25">
      <c r="A95" s="17" t="s">
        <v>73</v>
      </c>
      <c r="B95" s="15">
        <f>IF('Biologisk mångfald'!D18="Inte aktuellt",0,1)</f>
        <v>1</v>
      </c>
      <c r="C95" s="15">
        <v>0</v>
      </c>
      <c r="D95" s="15">
        <v>0</v>
      </c>
      <c r="E95" s="15">
        <v>1</v>
      </c>
      <c r="F95" s="15">
        <v>1</v>
      </c>
      <c r="G95" s="16">
        <f>IF('Biologisk mångfald'!D18="Ja",1,0)</f>
        <v>0</v>
      </c>
      <c r="H95" s="10"/>
    </row>
    <row r="96" spans="1:8" x14ac:dyDescent="0.25">
      <c r="A96" s="17" t="s">
        <v>74</v>
      </c>
      <c r="B96" s="15">
        <f>IF('Biologisk mångfald'!D19="Inte aktuellt",0,1)</f>
        <v>1</v>
      </c>
      <c r="C96" s="15">
        <v>0</v>
      </c>
      <c r="D96" s="15">
        <v>0</v>
      </c>
      <c r="E96" s="15">
        <v>1</v>
      </c>
      <c r="F96" s="15">
        <v>0</v>
      </c>
      <c r="G96" s="16">
        <f>IF('Biologisk mångfald'!D19="Ja",1,0)</f>
        <v>0</v>
      </c>
      <c r="H96" s="10"/>
    </row>
    <row r="97" spans="1:8" x14ac:dyDescent="0.25">
      <c r="A97" s="17" t="s">
        <v>75</v>
      </c>
      <c r="B97" s="15">
        <f>IF('Biologisk mångfald'!D20="Inte aktuellt",0,1)</f>
        <v>1</v>
      </c>
      <c r="C97" s="15">
        <v>0</v>
      </c>
      <c r="D97" s="15">
        <v>0</v>
      </c>
      <c r="E97" s="15">
        <v>1</v>
      </c>
      <c r="F97" s="15">
        <v>0</v>
      </c>
      <c r="G97" s="16">
        <f>IF('Biologisk mångfald'!D20="Ja",1,0)</f>
        <v>0</v>
      </c>
      <c r="H97" s="10"/>
    </row>
    <row r="98" spans="1:8" x14ac:dyDescent="0.25">
      <c r="A98" s="17" t="s">
        <v>76</v>
      </c>
      <c r="B98" s="15">
        <f>IF('Biologisk mångfald'!D21="Inte aktuellt",0,1)</f>
        <v>1</v>
      </c>
      <c r="C98" s="15">
        <v>1</v>
      </c>
      <c r="D98" s="15">
        <v>1</v>
      </c>
      <c r="E98" s="15">
        <v>1</v>
      </c>
      <c r="F98" s="15">
        <v>1</v>
      </c>
      <c r="G98" s="16">
        <f>IF('Biologisk mångfald'!D21="Ja",1,0)</f>
        <v>0</v>
      </c>
      <c r="H98" s="10"/>
    </row>
    <row r="99" spans="1:8" x14ac:dyDescent="0.25">
      <c r="A99" s="17" t="s">
        <v>77</v>
      </c>
      <c r="B99" s="15">
        <f>IF('Biologisk mångfald'!D22="Inte aktuellt",0,1)</f>
        <v>1</v>
      </c>
      <c r="C99" s="15">
        <v>0</v>
      </c>
      <c r="D99" s="15">
        <v>0</v>
      </c>
      <c r="E99" s="15">
        <v>1</v>
      </c>
      <c r="F99" s="15">
        <v>0</v>
      </c>
      <c r="G99" s="16">
        <f>IF('Biologisk mångfald'!D22="Ja",1,0)</f>
        <v>0</v>
      </c>
      <c r="H99" s="10"/>
    </row>
    <row r="100" spans="1:8" x14ac:dyDescent="0.25">
      <c r="A100" s="17" t="s">
        <v>79</v>
      </c>
      <c r="B100" s="15">
        <f>IF('Biologisk mångfald'!D23="Inte aktuellt",0,1)</f>
        <v>1</v>
      </c>
      <c r="C100" s="15">
        <v>0</v>
      </c>
      <c r="D100" s="15">
        <v>0</v>
      </c>
      <c r="E100" s="15">
        <v>1</v>
      </c>
      <c r="F100" s="15">
        <v>0</v>
      </c>
      <c r="G100" s="16">
        <f>IF('Biologisk mångfald'!D23="Ja",1,0)</f>
        <v>0</v>
      </c>
      <c r="H100" s="10"/>
    </row>
    <row r="101" spans="1:8" x14ac:dyDescent="0.25">
      <c r="A101" s="17" t="s">
        <v>80</v>
      </c>
      <c r="B101" s="15">
        <f>IF('Biologisk mångfald'!D24="Inte aktuellt",0,1)</f>
        <v>1</v>
      </c>
      <c r="C101" s="15">
        <v>1</v>
      </c>
      <c r="D101" s="15">
        <v>1</v>
      </c>
      <c r="E101" s="15">
        <v>1</v>
      </c>
      <c r="F101" s="15">
        <v>1</v>
      </c>
      <c r="G101" s="16">
        <f>IF('Biologisk mångfald'!D24="Ja",1,0)</f>
        <v>0</v>
      </c>
      <c r="H101" s="10"/>
    </row>
    <row r="102" spans="1:8" x14ac:dyDescent="0.25">
      <c r="A102" s="17" t="s">
        <v>81</v>
      </c>
      <c r="B102" s="15">
        <f>IF('Biologisk mångfald'!D25="Inte aktuellt",0,1)</f>
        <v>1</v>
      </c>
      <c r="C102" s="15">
        <v>0</v>
      </c>
      <c r="D102" s="15">
        <v>0</v>
      </c>
      <c r="E102" s="15">
        <v>0</v>
      </c>
      <c r="F102" s="15">
        <v>1</v>
      </c>
      <c r="G102" s="16">
        <f>IF('Biologisk mångfald'!D25="Ja",1,0)</f>
        <v>0</v>
      </c>
      <c r="H102" s="10"/>
    </row>
    <row r="103" spans="1:8" x14ac:dyDescent="0.25">
      <c r="A103" s="17" t="s">
        <v>82</v>
      </c>
      <c r="B103" s="15">
        <f>IF('Biologisk mångfald'!D26="Inte aktuellt",0,1)</f>
        <v>1</v>
      </c>
      <c r="C103" s="15">
        <v>0</v>
      </c>
      <c r="D103" s="15">
        <v>1</v>
      </c>
      <c r="E103" s="15">
        <v>0</v>
      </c>
      <c r="F103" s="15">
        <v>1</v>
      </c>
      <c r="G103" s="16">
        <f>IF('Biologisk mångfald'!D26="Ja",1,0)</f>
        <v>0</v>
      </c>
      <c r="H103" s="10"/>
    </row>
    <row r="104" spans="1:8" x14ac:dyDescent="0.25">
      <c r="A104" s="17" t="s">
        <v>40</v>
      </c>
      <c r="B104" s="15">
        <f>IF('Biologisk mångfald'!D27="Inte aktuellt",0,1)</f>
        <v>1</v>
      </c>
      <c r="C104" s="15">
        <v>0</v>
      </c>
      <c r="D104" s="15">
        <v>0</v>
      </c>
      <c r="E104" s="15">
        <v>1</v>
      </c>
      <c r="F104" s="15">
        <v>1</v>
      </c>
      <c r="G104" s="16">
        <f>IF('Biologisk mångfald'!D27="Ja",1,0)</f>
        <v>0</v>
      </c>
      <c r="H104" s="10"/>
    </row>
    <row r="105" spans="1:8" x14ac:dyDescent="0.25">
      <c r="A105" s="17" t="s">
        <v>83</v>
      </c>
      <c r="B105" s="15">
        <f>IF('Biologisk mångfald'!D28="Inte aktuellt",0,1)</f>
        <v>1</v>
      </c>
      <c r="C105" s="15">
        <v>1</v>
      </c>
      <c r="D105" s="15">
        <v>0</v>
      </c>
      <c r="E105" s="15">
        <v>1</v>
      </c>
      <c r="F105" s="15">
        <v>1</v>
      </c>
      <c r="G105" s="16">
        <f>IF('Biologisk mångfald'!D28="Ja",1,0)</f>
        <v>0</v>
      </c>
      <c r="H105" s="10"/>
    </row>
    <row r="106" spans="1:8" x14ac:dyDescent="0.25">
      <c r="A106" s="17" t="s">
        <v>84</v>
      </c>
      <c r="B106" s="15">
        <f>IF('Biologisk mångfald'!D29="Inte aktuellt",0,1)</f>
        <v>1</v>
      </c>
      <c r="C106" s="15">
        <v>1</v>
      </c>
      <c r="D106" s="15">
        <v>1</v>
      </c>
      <c r="E106" s="15">
        <v>1</v>
      </c>
      <c r="F106" s="15">
        <v>1</v>
      </c>
      <c r="G106" s="16">
        <f>IF('Biologisk mångfald'!D29="Ja",1,0)</f>
        <v>0</v>
      </c>
      <c r="H106" s="10"/>
    </row>
    <row r="107" spans="1:8" x14ac:dyDescent="0.25">
      <c r="A107" s="17" t="s">
        <v>85</v>
      </c>
      <c r="B107" s="15">
        <f>IF('Biologisk mångfald'!D30="Inte aktuellt",0,1)</f>
        <v>1</v>
      </c>
      <c r="C107" s="15">
        <v>1</v>
      </c>
      <c r="D107" s="15">
        <v>1</v>
      </c>
      <c r="E107" s="15">
        <v>1</v>
      </c>
      <c r="F107" s="15">
        <v>1</v>
      </c>
      <c r="G107" s="16">
        <f>IF('Biologisk mångfald'!D30="Ja",1,0)</f>
        <v>0</v>
      </c>
      <c r="H107" s="10"/>
    </row>
    <row r="108" spans="1:8" x14ac:dyDescent="0.25">
      <c r="A108" s="17" t="s">
        <v>86</v>
      </c>
      <c r="B108" s="15">
        <f>IF('Biologisk mångfald'!D31="Inte aktuellt",0,1)</f>
        <v>1</v>
      </c>
      <c r="C108" s="15">
        <v>1</v>
      </c>
      <c r="D108" s="15">
        <v>1</v>
      </c>
      <c r="E108" s="15">
        <v>1</v>
      </c>
      <c r="F108" s="15">
        <v>1</v>
      </c>
      <c r="G108" s="16">
        <f>IF('Biologisk mångfald'!D31="Ja",1,0)</f>
        <v>0</v>
      </c>
      <c r="H108" s="10"/>
    </row>
    <row r="109" spans="1:8" x14ac:dyDescent="0.25">
      <c r="A109" s="17" t="s">
        <v>87</v>
      </c>
      <c r="B109" s="15">
        <f>IF('Biologisk mångfald'!D32="Inte aktuellt",0,1)</f>
        <v>1</v>
      </c>
      <c r="C109" s="15">
        <v>1</v>
      </c>
      <c r="D109" s="15">
        <v>1</v>
      </c>
      <c r="E109" s="15">
        <v>1</v>
      </c>
      <c r="F109" s="15">
        <v>1</v>
      </c>
      <c r="G109" s="16">
        <f>IF('Biologisk mångfald'!D32="Ja",1,0)</f>
        <v>0</v>
      </c>
      <c r="H109" s="10"/>
    </row>
    <row r="110" spans="1:8" x14ac:dyDescent="0.25">
      <c r="A110" s="17" t="s">
        <v>88</v>
      </c>
      <c r="B110" s="15">
        <f>IF('Biologisk mångfald'!D33="Inte aktuellt",0,1)</f>
        <v>1</v>
      </c>
      <c r="C110" s="15">
        <v>1</v>
      </c>
      <c r="D110" s="15">
        <v>1</v>
      </c>
      <c r="E110" s="15">
        <v>1</v>
      </c>
      <c r="F110" s="15">
        <v>1</v>
      </c>
      <c r="G110" s="16">
        <f>IF('Biologisk mångfald'!D33="Ja",1,0)</f>
        <v>0</v>
      </c>
      <c r="H110" s="10"/>
    </row>
    <row r="111" spans="1:8" x14ac:dyDescent="0.25">
      <c r="A111" s="17" t="s">
        <v>89</v>
      </c>
      <c r="B111" s="15">
        <f>IF('Biologisk mångfald'!D34="Inte aktuellt",0,1)</f>
        <v>1</v>
      </c>
      <c r="C111" s="15">
        <v>1</v>
      </c>
      <c r="D111" s="15">
        <v>1</v>
      </c>
      <c r="E111" s="15">
        <v>1</v>
      </c>
      <c r="F111" s="15">
        <v>1</v>
      </c>
      <c r="G111" s="16">
        <f>IF('Biologisk mångfald'!D34="Ja",1,0)</f>
        <v>0</v>
      </c>
      <c r="H111" s="10"/>
    </row>
    <row r="112" spans="1:8" x14ac:dyDescent="0.25">
      <c r="A112" s="17" t="s">
        <v>91</v>
      </c>
      <c r="B112" s="15">
        <f>IF('Biologisk mångfald'!D35="Inte aktuellt",0,1)</f>
        <v>1</v>
      </c>
      <c r="C112" s="15">
        <v>1</v>
      </c>
      <c r="D112" s="15">
        <v>1</v>
      </c>
      <c r="E112" s="15">
        <v>1</v>
      </c>
      <c r="F112" s="15">
        <v>1</v>
      </c>
      <c r="G112" s="16">
        <f>IF('Biologisk mångfald'!D35="Ja",1,0)</f>
        <v>0</v>
      </c>
      <c r="H112" s="10"/>
    </row>
    <row r="113" spans="1:8" x14ac:dyDescent="0.25">
      <c r="A113" s="17" t="s">
        <v>90</v>
      </c>
      <c r="B113" s="15">
        <f>IF('Biologisk mångfald'!D36="Inte aktuellt",0,1)</f>
        <v>1</v>
      </c>
      <c r="C113" s="15">
        <v>1</v>
      </c>
      <c r="D113" s="15">
        <v>1</v>
      </c>
      <c r="E113" s="15">
        <v>1</v>
      </c>
      <c r="F113" s="15">
        <v>1</v>
      </c>
      <c r="G113" s="16">
        <f>IF('Biologisk mångfald'!D36="Ja",1,0)</f>
        <v>0</v>
      </c>
      <c r="H113" s="10"/>
    </row>
    <row r="114" spans="1:8" x14ac:dyDescent="0.25">
      <c r="A114" s="17"/>
      <c r="B114" s="15"/>
      <c r="C114" s="73"/>
      <c r="D114" s="73"/>
      <c r="E114" s="73"/>
      <c r="F114" s="73"/>
      <c r="G114" s="16"/>
      <c r="H114" s="10"/>
    </row>
    <row r="115" spans="1:8" x14ac:dyDescent="0.25">
      <c r="A115" s="17"/>
      <c r="B115" s="15"/>
      <c r="C115" s="73"/>
      <c r="D115" s="73"/>
      <c r="E115" s="73"/>
      <c r="F115" s="73"/>
      <c r="G115" s="16"/>
      <c r="H115" s="10"/>
    </row>
    <row r="116" spans="1:8" x14ac:dyDescent="0.25">
      <c r="A116" s="17"/>
      <c r="B116" s="15"/>
      <c r="C116" s="15"/>
      <c r="D116" s="15"/>
      <c r="E116" s="15"/>
      <c r="F116" s="15"/>
      <c r="G116" s="16"/>
      <c r="H116" s="10"/>
    </row>
    <row r="117" spans="1:8" x14ac:dyDescent="0.25">
      <c r="A117" s="17" t="s">
        <v>43</v>
      </c>
      <c r="B117" s="15"/>
      <c r="C117" s="15">
        <f>SUMPRODUCT($B82:$B115*C82:C115)</f>
        <v>19</v>
      </c>
      <c r="D117" s="15">
        <f t="shared" ref="D117:G117" si="25">SUMPRODUCT($B82:$B115*D82:D115)</f>
        <v>18</v>
      </c>
      <c r="E117" s="15">
        <f t="shared" si="25"/>
        <v>24</v>
      </c>
      <c r="F117" s="15">
        <f t="shared" si="25"/>
        <v>22</v>
      </c>
      <c r="G117" s="16">
        <f t="shared" si="25"/>
        <v>0</v>
      </c>
      <c r="H117" s="10"/>
    </row>
    <row r="118" spans="1:8" x14ac:dyDescent="0.25">
      <c r="A118" s="17" t="s">
        <v>99</v>
      </c>
      <c r="B118" s="15"/>
      <c r="C118" s="15">
        <f>SUMPRODUCT(C82:C115,$G82:$G115)</f>
        <v>0</v>
      </c>
      <c r="D118" s="15">
        <f t="shared" ref="D118:G118" si="26">SUMPRODUCT(D82:D115,$G82:$G115)</f>
        <v>0</v>
      </c>
      <c r="E118" s="15">
        <f t="shared" si="26"/>
        <v>0</v>
      </c>
      <c r="F118" s="15">
        <f t="shared" si="26"/>
        <v>0</v>
      </c>
      <c r="G118" s="16">
        <f t="shared" si="26"/>
        <v>0</v>
      </c>
      <c r="H118" s="10"/>
    </row>
    <row r="119" spans="1:8" x14ac:dyDescent="0.25">
      <c r="A119" s="18" t="s">
        <v>100</v>
      </c>
      <c r="B119" s="19"/>
      <c r="C119" s="77">
        <f>IFERROR(C118/C117,"")</f>
        <v>0</v>
      </c>
      <c r="D119" s="77">
        <f>IFERROR(D118/D117,"")</f>
        <v>0</v>
      </c>
      <c r="E119" s="77">
        <f>IFERROR(E118/E117,"")</f>
        <v>0</v>
      </c>
      <c r="F119" s="77">
        <f>IFERROR(F118/F117,"")</f>
        <v>0</v>
      </c>
      <c r="G119" s="20"/>
      <c r="H119" s="10"/>
    </row>
    <row r="120" spans="1:8" x14ac:dyDescent="0.25">
      <c r="A120" s="10" t="s">
        <v>479</v>
      </c>
      <c r="B120" s="10">
        <f>COUNTIF('Biologisk mångfald'!D5:D36,"")</f>
        <v>32</v>
      </c>
      <c r="C120" s="10" t="str">
        <f>IF(B120=32,"Ja","Nej")</f>
        <v>Ja</v>
      </c>
      <c r="D120" s="10"/>
      <c r="E120" s="10"/>
      <c r="F120" s="10"/>
      <c r="G120" s="10"/>
      <c r="H120" s="10"/>
    </row>
    <row r="121" spans="1:8" x14ac:dyDescent="0.25">
      <c r="A121" s="1" t="s">
        <v>480</v>
      </c>
      <c r="B121" s="10">
        <f>COUNTIF('Biologisk mångfald'!D40:D57,"")</f>
        <v>18</v>
      </c>
      <c r="C121" s="10" t="str">
        <f>IF(B121=18,"Ja","Nej")</f>
        <v>Ja</v>
      </c>
    </row>
    <row r="122" spans="1:8" x14ac:dyDescent="0.25">
      <c r="C122" s="15" t="s">
        <v>19</v>
      </c>
      <c r="D122" s="15" t="s">
        <v>20</v>
      </c>
    </row>
    <row r="123" spans="1:8" x14ac:dyDescent="0.25">
      <c r="A123" s="17" t="s">
        <v>92</v>
      </c>
      <c r="C123" s="1">
        <v>0.25</v>
      </c>
      <c r="D123" s="1">
        <v>0.75</v>
      </c>
    </row>
    <row r="124" spans="1:8" x14ac:dyDescent="0.25">
      <c r="A124" s="17" t="s">
        <v>93</v>
      </c>
      <c r="C124" s="1">
        <v>0.25</v>
      </c>
      <c r="D124" s="1">
        <v>0.75</v>
      </c>
    </row>
    <row r="125" spans="1:8" x14ac:dyDescent="0.25">
      <c r="A125" s="17" t="s">
        <v>94</v>
      </c>
      <c r="C125" s="1">
        <v>0.25</v>
      </c>
      <c r="D125" s="1">
        <v>0.75</v>
      </c>
    </row>
    <row r="126" spans="1:8" x14ac:dyDescent="0.25">
      <c r="A126" s="17" t="s">
        <v>95</v>
      </c>
      <c r="C126" s="1">
        <v>0.25</v>
      </c>
      <c r="D126" s="1">
        <v>0.75</v>
      </c>
    </row>
    <row r="127" spans="1:8" x14ac:dyDescent="0.25">
      <c r="A127" s="202" t="s">
        <v>482</v>
      </c>
      <c r="C127" s="1">
        <v>0.25</v>
      </c>
      <c r="D127" s="1">
        <v>0.75</v>
      </c>
    </row>
    <row r="129" spans="1:7" ht="13" x14ac:dyDescent="0.3">
      <c r="A129" s="1" t="s">
        <v>118</v>
      </c>
      <c r="B129" s="84">
        <v>0.25</v>
      </c>
      <c r="E129" s="221" t="s">
        <v>353</v>
      </c>
      <c r="F129" s="222"/>
      <c r="G129" s="222"/>
    </row>
    <row r="130" spans="1:7" ht="13" x14ac:dyDescent="0.3">
      <c r="A130" s="83" t="s">
        <v>117</v>
      </c>
      <c r="B130" s="1" t="s">
        <v>119</v>
      </c>
      <c r="C130" s="15" t="s">
        <v>19</v>
      </c>
      <c r="D130" s="15" t="s">
        <v>20</v>
      </c>
      <c r="E130" s="1" t="s">
        <v>354</v>
      </c>
      <c r="F130" s="1" t="s">
        <v>355</v>
      </c>
      <c r="G130" s="1" t="s">
        <v>344</v>
      </c>
    </row>
    <row r="131" spans="1:7" x14ac:dyDescent="0.25">
      <c r="A131" s="1" t="s">
        <v>459</v>
      </c>
      <c r="B131" s="85">
        <v>0.4</v>
      </c>
      <c r="C131" s="85">
        <f>(1-B$129)*B131</f>
        <v>0.30000000000000004</v>
      </c>
      <c r="D131" s="85">
        <f>(1+B$129)*B131</f>
        <v>0.5</v>
      </c>
      <c r="E131" s="85">
        <f>2*(C131-B131)+B131</f>
        <v>0.20000000000000007</v>
      </c>
      <c r="F131" s="85">
        <f>2*(D131-B131)+B131</f>
        <v>0.6</v>
      </c>
      <c r="G131" s="85">
        <f>F131-E131</f>
        <v>0.39999999999999991</v>
      </c>
    </row>
    <row r="132" spans="1:7" x14ac:dyDescent="0.25">
      <c r="A132" s="1" t="s">
        <v>460</v>
      </c>
      <c r="B132" s="85">
        <v>0.4</v>
      </c>
      <c r="C132" s="85">
        <f t="shared" ref="C132:C146" si="27">(1-B$129)*B132</f>
        <v>0.30000000000000004</v>
      </c>
      <c r="D132" s="85">
        <f t="shared" ref="D132:D146" si="28">(1+B$129)*B132</f>
        <v>0.5</v>
      </c>
      <c r="E132" s="85">
        <f t="shared" ref="E132:E145" si="29">2*(C132-B132)+B132</f>
        <v>0.20000000000000007</v>
      </c>
      <c r="F132" s="85">
        <f t="shared" ref="F132:F145" si="30">2*(D132-B132)+B132</f>
        <v>0.6</v>
      </c>
      <c r="G132" s="85">
        <f t="shared" ref="G132:G145" si="31">F132-E132</f>
        <v>0.39999999999999991</v>
      </c>
    </row>
    <row r="133" spans="1:7" x14ac:dyDescent="0.25">
      <c r="A133" s="1" t="s">
        <v>461</v>
      </c>
      <c r="B133" s="85">
        <v>0.4</v>
      </c>
      <c r="C133" s="85">
        <f t="shared" si="27"/>
        <v>0.30000000000000004</v>
      </c>
      <c r="D133" s="85">
        <f t="shared" si="28"/>
        <v>0.5</v>
      </c>
      <c r="E133" s="85">
        <f t="shared" si="29"/>
        <v>0.20000000000000007</v>
      </c>
      <c r="F133" s="85">
        <f t="shared" si="30"/>
        <v>0.6</v>
      </c>
      <c r="G133" s="85">
        <f t="shared" si="31"/>
        <v>0.39999999999999991</v>
      </c>
    </row>
    <row r="134" spans="1:7" x14ac:dyDescent="0.25">
      <c r="A134" s="1" t="s">
        <v>462</v>
      </c>
      <c r="B134" s="85">
        <v>0.4</v>
      </c>
      <c r="C134" s="85">
        <f t="shared" si="27"/>
        <v>0.30000000000000004</v>
      </c>
      <c r="D134" s="85">
        <f t="shared" si="28"/>
        <v>0.5</v>
      </c>
      <c r="E134" s="85">
        <f t="shared" si="29"/>
        <v>0.20000000000000007</v>
      </c>
      <c r="F134" s="85">
        <f t="shared" si="30"/>
        <v>0.6</v>
      </c>
      <c r="G134" s="85">
        <f t="shared" si="31"/>
        <v>0.39999999999999991</v>
      </c>
    </row>
    <row r="135" spans="1:7" x14ac:dyDescent="0.25">
      <c r="A135" s="1" t="s">
        <v>463</v>
      </c>
      <c r="B135" s="85">
        <v>0.4</v>
      </c>
      <c r="C135" s="85">
        <f t="shared" si="27"/>
        <v>0.30000000000000004</v>
      </c>
      <c r="D135" s="85">
        <f t="shared" si="28"/>
        <v>0.5</v>
      </c>
      <c r="E135" s="85">
        <f t="shared" si="29"/>
        <v>0.20000000000000007</v>
      </c>
      <c r="F135" s="85">
        <f t="shared" si="30"/>
        <v>0.6</v>
      </c>
      <c r="G135" s="85">
        <f t="shared" si="31"/>
        <v>0.39999999999999991</v>
      </c>
    </row>
    <row r="136" spans="1:7" x14ac:dyDescent="0.25">
      <c r="A136" s="1" t="s">
        <v>464</v>
      </c>
      <c r="B136" s="85">
        <v>0.4</v>
      </c>
      <c r="C136" s="85">
        <f t="shared" si="27"/>
        <v>0.30000000000000004</v>
      </c>
      <c r="D136" s="85">
        <f t="shared" si="28"/>
        <v>0.5</v>
      </c>
      <c r="E136" s="85">
        <f t="shared" si="29"/>
        <v>0.20000000000000007</v>
      </c>
      <c r="F136" s="85">
        <f t="shared" si="30"/>
        <v>0.6</v>
      </c>
      <c r="G136" s="85">
        <f t="shared" si="31"/>
        <v>0.39999999999999991</v>
      </c>
    </row>
    <row r="137" spans="1:7" x14ac:dyDescent="0.25">
      <c r="A137" s="1" t="s">
        <v>465</v>
      </c>
      <c r="B137" s="1">
        <v>0.28000000000000003</v>
      </c>
      <c r="C137" s="85">
        <f t="shared" si="27"/>
        <v>0.21000000000000002</v>
      </c>
      <c r="D137" s="85">
        <f t="shared" si="28"/>
        <v>0.35000000000000003</v>
      </c>
      <c r="E137" s="85">
        <f t="shared" si="29"/>
        <v>0.14000000000000001</v>
      </c>
      <c r="F137" s="85">
        <f t="shared" si="30"/>
        <v>0.42000000000000004</v>
      </c>
      <c r="G137" s="85">
        <f t="shared" si="31"/>
        <v>0.28000000000000003</v>
      </c>
    </row>
    <row r="138" spans="1:7" x14ac:dyDescent="0.25">
      <c r="A138" s="1" t="s">
        <v>466</v>
      </c>
      <c r="B138" s="1">
        <v>0.36</v>
      </c>
      <c r="C138" s="85">
        <f t="shared" si="27"/>
        <v>0.27</v>
      </c>
      <c r="D138" s="85">
        <f t="shared" si="28"/>
        <v>0.44999999999999996</v>
      </c>
      <c r="E138" s="85">
        <f t="shared" si="29"/>
        <v>0.18000000000000005</v>
      </c>
      <c r="F138" s="85">
        <f t="shared" si="30"/>
        <v>0.53999999999999992</v>
      </c>
      <c r="G138" s="85">
        <f t="shared" si="31"/>
        <v>0.35999999999999988</v>
      </c>
    </row>
    <row r="139" spans="1:7" x14ac:dyDescent="0.25">
      <c r="A139" s="1" t="s">
        <v>467</v>
      </c>
      <c r="B139" s="1">
        <v>0.25</v>
      </c>
      <c r="C139" s="85">
        <f t="shared" si="27"/>
        <v>0.1875</v>
      </c>
      <c r="D139" s="85">
        <f t="shared" si="28"/>
        <v>0.3125</v>
      </c>
      <c r="E139" s="85">
        <f t="shared" si="29"/>
        <v>0.125</v>
      </c>
      <c r="F139" s="85">
        <f t="shared" si="30"/>
        <v>0.375</v>
      </c>
      <c r="G139" s="85">
        <f t="shared" si="31"/>
        <v>0.25</v>
      </c>
    </row>
    <row r="140" spans="1:7" x14ac:dyDescent="0.25">
      <c r="A140" s="1" t="s">
        <v>468</v>
      </c>
      <c r="B140" s="1">
        <v>0.34</v>
      </c>
      <c r="C140" s="85">
        <f t="shared" si="27"/>
        <v>0.255</v>
      </c>
      <c r="D140" s="85">
        <f t="shared" si="28"/>
        <v>0.42500000000000004</v>
      </c>
      <c r="E140" s="85">
        <f t="shared" si="29"/>
        <v>0.16999999999999998</v>
      </c>
      <c r="F140" s="85">
        <f t="shared" si="30"/>
        <v>0.51</v>
      </c>
      <c r="G140" s="85">
        <f t="shared" si="31"/>
        <v>0.34</v>
      </c>
    </row>
    <row r="141" spans="1:7" x14ac:dyDescent="0.25">
      <c r="A141" s="1" t="s">
        <v>469</v>
      </c>
      <c r="B141" s="1">
        <v>0.25</v>
      </c>
      <c r="C141" s="85">
        <f t="shared" si="27"/>
        <v>0.1875</v>
      </c>
      <c r="D141" s="85">
        <f t="shared" si="28"/>
        <v>0.3125</v>
      </c>
      <c r="E141" s="85">
        <f t="shared" si="29"/>
        <v>0.125</v>
      </c>
      <c r="F141" s="85">
        <f t="shared" si="30"/>
        <v>0.375</v>
      </c>
      <c r="G141" s="85">
        <f t="shared" si="31"/>
        <v>0.25</v>
      </c>
    </row>
    <row r="142" spans="1:7" x14ac:dyDescent="0.25">
      <c r="A142" s="1" t="s">
        <v>470</v>
      </c>
      <c r="B142" s="1">
        <v>0.28999999999999998</v>
      </c>
      <c r="C142" s="85">
        <f t="shared" si="27"/>
        <v>0.21749999999999997</v>
      </c>
      <c r="D142" s="85">
        <f t="shared" si="28"/>
        <v>0.36249999999999999</v>
      </c>
      <c r="E142" s="85">
        <f t="shared" si="29"/>
        <v>0.14499999999999996</v>
      </c>
      <c r="F142" s="85">
        <f t="shared" si="30"/>
        <v>0.435</v>
      </c>
      <c r="G142" s="85">
        <f t="shared" si="31"/>
        <v>0.29000000000000004</v>
      </c>
    </row>
    <row r="143" spans="1:7" x14ac:dyDescent="0.25">
      <c r="A143" s="1" t="s">
        <v>471</v>
      </c>
      <c r="B143" s="1">
        <v>0.02</v>
      </c>
      <c r="C143" s="85">
        <f t="shared" si="27"/>
        <v>1.4999999999999999E-2</v>
      </c>
      <c r="D143" s="85">
        <f t="shared" si="28"/>
        <v>2.5000000000000001E-2</v>
      </c>
      <c r="E143" s="85">
        <f t="shared" si="29"/>
        <v>9.9999999999999985E-3</v>
      </c>
      <c r="F143" s="85">
        <f t="shared" si="30"/>
        <v>3.0000000000000002E-2</v>
      </c>
      <c r="G143" s="85">
        <f t="shared" si="31"/>
        <v>2.0000000000000004E-2</v>
      </c>
    </row>
    <row r="144" spans="1:7" x14ac:dyDescent="0.25">
      <c r="A144" s="1" t="s">
        <v>472</v>
      </c>
      <c r="B144" s="1">
        <v>0.8</v>
      </c>
      <c r="C144" s="85">
        <f t="shared" si="27"/>
        <v>0.60000000000000009</v>
      </c>
      <c r="D144" s="85">
        <f t="shared" si="28"/>
        <v>1</v>
      </c>
      <c r="E144" s="85">
        <f t="shared" si="29"/>
        <v>0.40000000000000013</v>
      </c>
      <c r="F144" s="85">
        <f t="shared" si="30"/>
        <v>1.2</v>
      </c>
      <c r="G144" s="85">
        <f t="shared" si="31"/>
        <v>0.79999999999999982</v>
      </c>
    </row>
    <row r="145" spans="1:7" x14ac:dyDescent="0.25">
      <c r="A145" s="1" t="s">
        <v>473</v>
      </c>
      <c r="B145" s="1">
        <v>4.5999999999999999E-2</v>
      </c>
      <c r="C145" s="85">
        <f t="shared" si="27"/>
        <v>3.4500000000000003E-2</v>
      </c>
      <c r="D145" s="85">
        <f t="shared" si="28"/>
        <v>5.7499999999999996E-2</v>
      </c>
      <c r="E145" s="85">
        <f t="shared" si="29"/>
        <v>2.3000000000000007E-2</v>
      </c>
      <c r="F145" s="85">
        <f t="shared" si="30"/>
        <v>6.8999999999999992E-2</v>
      </c>
      <c r="G145" s="85">
        <f t="shared" si="31"/>
        <v>4.5999999999999985E-2</v>
      </c>
    </row>
    <row r="146" spans="1:7" x14ac:dyDescent="0.25">
      <c r="A146" s="1" t="s">
        <v>474</v>
      </c>
      <c r="B146" s="1">
        <v>0.3</v>
      </c>
      <c r="C146" s="85">
        <f t="shared" si="27"/>
        <v>0.22499999999999998</v>
      </c>
      <c r="D146" s="85">
        <f t="shared" si="28"/>
        <v>0.375</v>
      </c>
      <c r="E146" s="85">
        <f t="shared" ref="E146" si="32">2*(C146-B146)+B146</f>
        <v>0.14999999999999997</v>
      </c>
      <c r="F146" s="85">
        <f t="shared" ref="F146" si="33">2*(D146-B146)+B146</f>
        <v>0.45</v>
      </c>
      <c r="G146" s="85">
        <f t="shared" ref="G146" si="34">F146-E146</f>
        <v>0.30000000000000004</v>
      </c>
    </row>
    <row r="148" spans="1:7" ht="13" x14ac:dyDescent="0.3">
      <c r="A148" s="83" t="s">
        <v>124</v>
      </c>
      <c r="C148" s="15" t="s">
        <v>19</v>
      </c>
      <c r="D148" s="15" t="s">
        <v>20</v>
      </c>
    </row>
    <row r="149" spans="1:7" x14ac:dyDescent="0.25">
      <c r="A149" s="1" t="s">
        <v>121</v>
      </c>
      <c r="C149" s="84">
        <f>1/3</f>
        <v>0.33333333333333331</v>
      </c>
      <c r="D149" s="84">
        <f>2/3</f>
        <v>0.66666666666666663</v>
      </c>
    </row>
    <row r="152" spans="1:7" ht="13" x14ac:dyDescent="0.3">
      <c r="A152" s="83" t="s">
        <v>127</v>
      </c>
    </row>
    <row r="153" spans="1:7" x14ac:dyDescent="0.25">
      <c r="A153" s="1" t="s">
        <v>128</v>
      </c>
      <c r="B153" s="1">
        <v>0</v>
      </c>
    </row>
    <row r="154" spans="1:7" x14ac:dyDescent="0.25">
      <c r="A154" s="1" t="s">
        <v>129</v>
      </c>
      <c r="B154" s="1">
        <v>1</v>
      </c>
    </row>
    <row r="155" spans="1:7" x14ac:dyDescent="0.25">
      <c r="A155" s="1" t="s">
        <v>130</v>
      </c>
      <c r="B155" s="1">
        <v>2</v>
      </c>
    </row>
    <row r="157" spans="1:7" ht="13" x14ac:dyDescent="0.3">
      <c r="A157" s="83" t="s">
        <v>453</v>
      </c>
    </row>
    <row r="158" spans="1:7" x14ac:dyDescent="0.25">
      <c r="A158" s="1" t="s">
        <v>121</v>
      </c>
      <c r="C158" s="84">
        <f>1/3</f>
        <v>0.33333333333333331</v>
      </c>
      <c r="D158" s="84">
        <f>2/3</f>
        <v>0.66666666666666663</v>
      </c>
    </row>
    <row r="159" spans="1:7" x14ac:dyDescent="0.25">
      <c r="C159" s="84"/>
      <c r="D159" s="84"/>
    </row>
    <row r="160" spans="1:7" ht="13" x14ac:dyDescent="0.3">
      <c r="A160" s="83" t="s">
        <v>173</v>
      </c>
      <c r="C160" s="15" t="s">
        <v>19</v>
      </c>
      <c r="D160" s="15" t="s">
        <v>20</v>
      </c>
      <c r="E160" s="1" t="s">
        <v>156</v>
      </c>
    </row>
    <row r="161" spans="1:5" x14ac:dyDescent="0.25">
      <c r="A161" s="1" t="s">
        <v>11</v>
      </c>
      <c r="C161" s="1">
        <v>26</v>
      </c>
      <c r="D161" s="1">
        <v>30</v>
      </c>
      <c r="E161" s="1" t="s">
        <v>157</v>
      </c>
    </row>
    <row r="162" spans="1:5" x14ac:dyDescent="0.25">
      <c r="A162" s="1" t="s">
        <v>56</v>
      </c>
      <c r="C162" s="1">
        <v>20</v>
      </c>
      <c r="D162" s="1">
        <v>25</v>
      </c>
      <c r="E162" s="1" t="s">
        <v>158</v>
      </c>
    </row>
    <row r="163" spans="1:5" x14ac:dyDescent="0.25">
      <c r="A163" s="1" t="s">
        <v>57</v>
      </c>
      <c r="C163" s="1">
        <v>37</v>
      </c>
      <c r="D163" s="1">
        <v>43</v>
      </c>
      <c r="E163" s="1" t="s">
        <v>159</v>
      </c>
    </row>
    <row r="167" spans="1:5" x14ac:dyDescent="0.25">
      <c r="A167" s="1" t="s">
        <v>220</v>
      </c>
      <c r="B167" s="84">
        <v>0.05</v>
      </c>
    </row>
    <row r="169" spans="1:5" x14ac:dyDescent="0.25">
      <c r="A169" s="1" t="s">
        <v>256</v>
      </c>
    </row>
    <row r="170" spans="1:5" x14ac:dyDescent="0.25">
      <c r="A170" s="1" t="s">
        <v>257</v>
      </c>
      <c r="B170" s="1">
        <f>COUNTIF('Biologisk mångfald'!D40:D57,"Ja")</f>
        <v>0</v>
      </c>
    </row>
    <row r="171" spans="1:5" x14ac:dyDescent="0.25">
      <c r="A171" s="1" t="s">
        <v>258</v>
      </c>
      <c r="B171" s="1">
        <f>COUNTIF('Biologisk mångfald'!D40:D57,"Nej")</f>
        <v>0</v>
      </c>
    </row>
    <row r="172" spans="1:5" x14ac:dyDescent="0.25">
      <c r="A172" s="1" t="s">
        <v>259</v>
      </c>
      <c r="B172" s="85" t="str">
        <f>IFERROR(B170/(B171+B170),"")</f>
        <v/>
      </c>
    </row>
    <row r="173" spans="1:5" x14ac:dyDescent="0.25">
      <c r="A173" s="1" t="s">
        <v>539</v>
      </c>
      <c r="B173" s="85" t="str">
        <f>IFERROR(IF('Biologisk mångfald'!D38="Inte Aktuellt","",IF('Biologisk mångfald'!D38="Ja, den betas",0.5,0)+B172/2),"")</f>
        <v/>
      </c>
    </row>
    <row r="180" spans="1:2" ht="13" x14ac:dyDescent="0.3">
      <c r="A180" s="83" t="s">
        <v>301</v>
      </c>
    </row>
    <row r="181" spans="1:2" x14ac:dyDescent="0.25">
      <c r="A181" s="1">
        <v>1</v>
      </c>
      <c r="B181" s="1" t="s">
        <v>162</v>
      </c>
    </row>
    <row r="182" spans="1:2" x14ac:dyDescent="0.25">
      <c r="B182" s="1" t="s">
        <v>164</v>
      </c>
    </row>
    <row r="183" spans="1:2" x14ac:dyDescent="0.25">
      <c r="B183" s="1" t="s">
        <v>163</v>
      </c>
    </row>
    <row r="184" spans="1:2" x14ac:dyDescent="0.25">
      <c r="B184" s="1" t="s">
        <v>26</v>
      </c>
    </row>
    <row r="185" spans="1:2" x14ac:dyDescent="0.25">
      <c r="A185" s="1">
        <v>2</v>
      </c>
      <c r="B185" s="1" t="s">
        <v>162</v>
      </c>
    </row>
    <row r="186" spans="1:2" x14ac:dyDescent="0.25">
      <c r="B186" s="1" t="s">
        <v>164</v>
      </c>
    </row>
    <row r="187" spans="1:2" x14ac:dyDescent="0.25">
      <c r="B187" s="1" t="s">
        <v>163</v>
      </c>
    </row>
    <row r="188" spans="1:2" x14ac:dyDescent="0.25">
      <c r="B188" s="1" t="s">
        <v>26</v>
      </c>
    </row>
    <row r="189" spans="1:2" x14ac:dyDescent="0.25">
      <c r="A189" s="1">
        <v>3</v>
      </c>
      <c r="B189" s="1" t="s">
        <v>162</v>
      </c>
    </row>
    <row r="190" spans="1:2" x14ac:dyDescent="0.25">
      <c r="B190" s="1" t="s">
        <v>164</v>
      </c>
    </row>
    <row r="191" spans="1:2" x14ac:dyDescent="0.25">
      <c r="B191" s="1" t="s">
        <v>163</v>
      </c>
    </row>
    <row r="192" spans="1:2" x14ac:dyDescent="0.25">
      <c r="B192" s="1" t="s">
        <v>26</v>
      </c>
    </row>
    <row r="193" spans="1:2" x14ac:dyDescent="0.25">
      <c r="A193" s="1">
        <v>4</v>
      </c>
      <c r="B193" s="1" t="s">
        <v>322</v>
      </c>
    </row>
    <row r="194" spans="1:2" x14ac:dyDescent="0.25">
      <c r="B194" s="1" t="s">
        <v>323</v>
      </c>
    </row>
    <row r="195" spans="1:2" x14ac:dyDescent="0.25">
      <c r="B195" s="1" t="s">
        <v>324</v>
      </c>
    </row>
    <row r="196" spans="1:2" x14ac:dyDescent="0.25">
      <c r="B196" s="1" t="s">
        <v>26</v>
      </c>
    </row>
    <row r="197" spans="1:2" x14ac:dyDescent="0.25">
      <c r="A197" s="1">
        <v>5</v>
      </c>
      <c r="B197" s="1" t="s">
        <v>162</v>
      </c>
    </row>
    <row r="198" spans="1:2" x14ac:dyDescent="0.25">
      <c r="B198" s="1" t="s">
        <v>164</v>
      </c>
    </row>
    <row r="199" spans="1:2" x14ac:dyDescent="0.25">
      <c r="B199" s="1" t="s">
        <v>163</v>
      </c>
    </row>
    <row r="200" spans="1:2" x14ac:dyDescent="0.25">
      <c r="B200" s="1" t="s">
        <v>26</v>
      </c>
    </row>
    <row r="201" spans="1:2" x14ac:dyDescent="0.25">
      <c r="A201" s="1">
        <v>6</v>
      </c>
      <c r="B201" s="1" t="s">
        <v>163</v>
      </c>
    </row>
    <row r="202" spans="1:2" x14ac:dyDescent="0.25">
      <c r="B202" s="1" t="s">
        <v>164</v>
      </c>
    </row>
    <row r="203" spans="1:2" x14ac:dyDescent="0.25">
      <c r="B203" s="1" t="s">
        <v>162</v>
      </c>
    </row>
    <row r="204" spans="1:2" x14ac:dyDescent="0.25">
      <c r="B204" s="1" t="s">
        <v>26</v>
      </c>
    </row>
    <row r="205" spans="1:2" x14ac:dyDescent="0.25">
      <c r="A205" s="1">
        <v>7</v>
      </c>
      <c r="B205" s="1" t="s">
        <v>322</v>
      </c>
    </row>
    <row r="206" spans="1:2" x14ac:dyDescent="0.25">
      <c r="B206" s="1" t="s">
        <v>323</v>
      </c>
    </row>
    <row r="207" spans="1:2" x14ac:dyDescent="0.25">
      <c r="B207" s="1" t="s">
        <v>324</v>
      </c>
    </row>
    <row r="208" spans="1:2" x14ac:dyDescent="0.25">
      <c r="B208" s="1" t="s">
        <v>26</v>
      </c>
    </row>
    <row r="209" spans="1:2" x14ac:dyDescent="0.25">
      <c r="A209" s="1">
        <v>8</v>
      </c>
      <c r="B209" s="1" t="s">
        <v>162</v>
      </c>
    </row>
    <row r="210" spans="1:2" x14ac:dyDescent="0.25">
      <c r="B210" s="1" t="s">
        <v>164</v>
      </c>
    </row>
    <row r="211" spans="1:2" x14ac:dyDescent="0.25">
      <c r="B211" s="1" t="s">
        <v>163</v>
      </c>
    </row>
    <row r="212" spans="1:2" x14ac:dyDescent="0.25">
      <c r="B212" s="1" t="s">
        <v>26</v>
      </c>
    </row>
    <row r="213" spans="1:2" x14ac:dyDescent="0.25">
      <c r="A213" s="1">
        <v>9</v>
      </c>
      <c r="B213" s="1" t="s">
        <v>162</v>
      </c>
    </row>
    <row r="214" spans="1:2" x14ac:dyDescent="0.25">
      <c r="B214" s="1" t="s">
        <v>164</v>
      </c>
    </row>
    <row r="215" spans="1:2" x14ac:dyDescent="0.25">
      <c r="B215" s="1" t="s">
        <v>163</v>
      </c>
    </row>
    <row r="216" spans="1:2" x14ac:dyDescent="0.25">
      <c r="B216" s="1" t="s">
        <v>26</v>
      </c>
    </row>
    <row r="217" spans="1:2" x14ac:dyDescent="0.25">
      <c r="A217" s="1">
        <v>10</v>
      </c>
      <c r="B217" s="1" t="s">
        <v>162</v>
      </c>
    </row>
    <row r="218" spans="1:2" x14ac:dyDescent="0.25">
      <c r="B218" s="1" t="s">
        <v>164</v>
      </c>
    </row>
    <row r="219" spans="1:2" x14ac:dyDescent="0.25">
      <c r="B219" s="1" t="s">
        <v>163</v>
      </c>
    </row>
    <row r="220" spans="1:2" x14ac:dyDescent="0.25">
      <c r="B220" s="1" t="s">
        <v>26</v>
      </c>
    </row>
    <row r="221" spans="1:2" x14ac:dyDescent="0.25">
      <c r="A221" s="1">
        <v>11</v>
      </c>
      <c r="B221" s="1" t="s">
        <v>162</v>
      </c>
    </row>
    <row r="222" spans="1:2" x14ac:dyDescent="0.25">
      <c r="B222" s="1" t="s">
        <v>164</v>
      </c>
    </row>
    <row r="223" spans="1:2" x14ac:dyDescent="0.25">
      <c r="B223" s="1" t="s">
        <v>163</v>
      </c>
    </row>
    <row r="224" spans="1:2" x14ac:dyDescent="0.25">
      <c r="B224" s="1" t="s">
        <v>26</v>
      </c>
    </row>
    <row r="225" spans="1:2" x14ac:dyDescent="0.25">
      <c r="A225" s="1">
        <v>12</v>
      </c>
      <c r="B225" s="1" t="s">
        <v>162</v>
      </c>
    </row>
    <row r="226" spans="1:2" x14ac:dyDescent="0.25">
      <c r="B226" s="1" t="s">
        <v>164</v>
      </c>
    </row>
    <row r="227" spans="1:2" x14ac:dyDescent="0.25">
      <c r="B227" s="1" t="s">
        <v>163</v>
      </c>
    </row>
    <row r="228" spans="1:2" x14ac:dyDescent="0.25">
      <c r="B228" s="1" t="s">
        <v>26</v>
      </c>
    </row>
    <row r="229" spans="1:2" x14ac:dyDescent="0.25">
      <c r="A229" s="1">
        <v>13</v>
      </c>
      <c r="B229" s="1" t="s">
        <v>162</v>
      </c>
    </row>
    <row r="230" spans="1:2" x14ac:dyDescent="0.25">
      <c r="B230" s="1" t="s">
        <v>164</v>
      </c>
    </row>
    <row r="231" spans="1:2" x14ac:dyDescent="0.25">
      <c r="B231" s="1" t="s">
        <v>163</v>
      </c>
    </row>
    <row r="232" spans="1:2" x14ac:dyDescent="0.25">
      <c r="B232" s="1" t="s">
        <v>26</v>
      </c>
    </row>
    <row r="233" spans="1:2" x14ac:dyDescent="0.25">
      <c r="A233" s="1">
        <v>14</v>
      </c>
      <c r="B233" s="1" t="s">
        <v>162</v>
      </c>
    </row>
    <row r="234" spans="1:2" x14ac:dyDescent="0.25">
      <c r="B234" s="1" t="s">
        <v>164</v>
      </c>
    </row>
    <row r="235" spans="1:2" x14ac:dyDescent="0.25">
      <c r="B235" s="1" t="s">
        <v>163</v>
      </c>
    </row>
    <row r="236" spans="1:2" x14ac:dyDescent="0.25">
      <c r="B236" s="1" t="s">
        <v>26</v>
      </c>
    </row>
    <row r="238" spans="1:2" x14ac:dyDescent="0.25">
      <c r="A238" s="1" t="s">
        <v>162</v>
      </c>
      <c r="B238" s="1" t="s">
        <v>226</v>
      </c>
    </row>
    <row r="239" spans="1:2" x14ac:dyDescent="0.25">
      <c r="A239" s="1" t="s">
        <v>164</v>
      </c>
      <c r="B239" s="1" t="s">
        <v>225</v>
      </c>
    </row>
    <row r="240" spans="1:2" x14ac:dyDescent="0.25">
      <c r="A240" s="1" t="s">
        <v>163</v>
      </c>
      <c r="B240" s="1" t="s">
        <v>224</v>
      </c>
    </row>
    <row r="241" spans="1:15" x14ac:dyDescent="0.25">
      <c r="A241" s="1" t="s">
        <v>26</v>
      </c>
    </row>
    <row r="242" spans="1:15" x14ac:dyDescent="0.25">
      <c r="A242" s="1" t="s">
        <v>322</v>
      </c>
      <c r="B242" s="1" t="s">
        <v>226</v>
      </c>
    </row>
    <row r="243" spans="1:15" x14ac:dyDescent="0.25">
      <c r="A243" s="1" t="s">
        <v>323</v>
      </c>
      <c r="B243" s="1" t="s">
        <v>225</v>
      </c>
    </row>
    <row r="244" spans="1:15" x14ac:dyDescent="0.25">
      <c r="A244" s="1" t="s">
        <v>324</v>
      </c>
      <c r="B244" s="1" t="s">
        <v>224</v>
      </c>
    </row>
    <row r="245" spans="1:15" x14ac:dyDescent="0.25">
      <c r="B245" s="1" t="s">
        <v>331</v>
      </c>
    </row>
    <row r="246" spans="1:15" ht="14.5" x14ac:dyDescent="0.25">
      <c r="A246" s="1" t="s">
        <v>162</v>
      </c>
      <c r="B246" s="1" t="s">
        <v>224</v>
      </c>
      <c r="O246" s="172"/>
    </row>
    <row r="247" spans="1:15" ht="14.5" x14ac:dyDescent="0.25">
      <c r="A247" s="1" t="s">
        <v>164</v>
      </c>
      <c r="B247" s="1" t="s">
        <v>225</v>
      </c>
      <c r="O247" s="172"/>
    </row>
    <row r="248" spans="1:15" ht="14.5" x14ac:dyDescent="0.25">
      <c r="A248" s="1" t="s">
        <v>163</v>
      </c>
      <c r="B248" s="1" t="s">
        <v>226</v>
      </c>
      <c r="O248" s="172"/>
    </row>
    <row r="249" spans="1:15" ht="14.5" x14ac:dyDescent="0.25">
      <c r="A249" s="1" t="s">
        <v>26</v>
      </c>
      <c r="O249" s="172"/>
    </row>
    <row r="250" spans="1:15" ht="14.5" x14ac:dyDescent="0.25">
      <c r="O250" s="172"/>
    </row>
    <row r="251" spans="1:15" ht="14.5" x14ac:dyDescent="0.25">
      <c r="O251" s="172"/>
    </row>
    <row r="252" spans="1:15" ht="14.5" x14ac:dyDescent="0.25">
      <c r="O252" s="172"/>
    </row>
    <row r="253" spans="1:15" ht="14.5" x14ac:dyDescent="0.25">
      <c r="O253" s="172"/>
    </row>
    <row r="254" spans="1:15" ht="14.5" x14ac:dyDescent="0.25">
      <c r="O254" s="172"/>
    </row>
    <row r="259" spans="1:2" ht="13" x14ac:dyDescent="0.3">
      <c r="A259" s="83" t="s">
        <v>356</v>
      </c>
    </row>
    <row r="260" spans="1:2" x14ac:dyDescent="0.25">
      <c r="A260" s="1" t="s">
        <v>302</v>
      </c>
      <c r="B260" s="1">
        <v>1</v>
      </c>
    </row>
    <row r="261" spans="1:2" x14ac:dyDescent="0.25">
      <c r="A261" s="1" t="s">
        <v>303</v>
      </c>
      <c r="B261" s="1">
        <v>1</v>
      </c>
    </row>
    <row r="262" spans="1:2" x14ac:dyDescent="0.25">
      <c r="A262" s="1" t="s">
        <v>304</v>
      </c>
      <c r="B262" s="1">
        <v>-1</v>
      </c>
    </row>
    <row r="263" spans="1:2" x14ac:dyDescent="0.25">
      <c r="A263" s="1" t="s">
        <v>305</v>
      </c>
      <c r="B263" s="1">
        <v>1</v>
      </c>
    </row>
    <row r="264" spans="1:2" x14ac:dyDescent="0.25">
      <c r="A264" s="1" t="s">
        <v>310</v>
      </c>
      <c r="B264" s="1">
        <v>0</v>
      </c>
    </row>
    <row r="265" spans="1:2" x14ac:dyDescent="0.25">
      <c r="A265" s="1" t="s">
        <v>306</v>
      </c>
      <c r="B265" s="1">
        <v>1</v>
      </c>
    </row>
    <row r="266" spans="1:2" x14ac:dyDescent="0.25">
      <c r="A266" s="1" t="s">
        <v>307</v>
      </c>
      <c r="B266" s="1">
        <v>0</v>
      </c>
    </row>
    <row r="267" spans="1:2" x14ac:dyDescent="0.25">
      <c r="A267" s="1" t="s">
        <v>308</v>
      </c>
      <c r="B267" s="1">
        <v>1</v>
      </c>
    </row>
    <row r="268" spans="1:2" x14ac:dyDescent="0.25">
      <c r="A268" s="1" t="s">
        <v>309</v>
      </c>
      <c r="B268" s="1">
        <v>1</v>
      </c>
    </row>
    <row r="269" spans="1:2" x14ac:dyDescent="0.25">
      <c r="A269" s="1" t="s">
        <v>26</v>
      </c>
      <c r="B269" s="190"/>
    </row>
    <row r="271" spans="1:2" x14ac:dyDescent="0.25">
      <c r="A271" s="178" t="e">
        <f>IF(Växtskydd!C4="Inte aktuellt","",VLOOKUP(Växtskydd!C4,Tabeller!A260:B269,2,FALSE))</f>
        <v>#N/A</v>
      </c>
      <c r="B271" s="179" t="e">
        <f>IF(A271="","",IF(A271=1,"Grön",IF(A271=-1,"Röd","Gul")))</f>
        <v>#N/A</v>
      </c>
    </row>
    <row r="274" spans="1:3" ht="13" x14ac:dyDescent="0.3">
      <c r="A274" s="83" t="s">
        <v>132</v>
      </c>
      <c r="B274" s="83" t="s">
        <v>121</v>
      </c>
      <c r="C274" s="1" t="s">
        <v>346</v>
      </c>
    </row>
    <row r="275" spans="1:3" x14ac:dyDescent="0.25">
      <c r="A275" s="182" t="s">
        <v>345</v>
      </c>
      <c r="B275" s="84" t="e">
        <f>1-(Resultattabell!C5-VLOOKUP(Inriktning,Tabellen, 16,FALSE))/VLOOKUP(Inriktning,Tabellen, 18,FALSE)</f>
        <v>#VALUE!</v>
      </c>
      <c r="C275" s="84" t="e">
        <f t="shared" ref="C275:C280" si="35">IF(B275&gt;1,1,IF(B275&lt;0,0,B275))</f>
        <v>#VALUE!</v>
      </c>
    </row>
    <row r="276" spans="1:3" x14ac:dyDescent="0.25">
      <c r="A276" s="182" t="s">
        <v>134</v>
      </c>
      <c r="B276" s="84" t="e">
        <f>1-ABS((Resultattabell!C6-C63))/(4*B64)</f>
        <v>#VALUE!</v>
      </c>
      <c r="C276" s="84" t="e">
        <f t="shared" si="35"/>
        <v>#VALUE!</v>
      </c>
    </row>
    <row r="277" spans="1:3" x14ac:dyDescent="0.25">
      <c r="A277" s="182" t="s">
        <v>38</v>
      </c>
      <c r="B277" s="85" t="e">
        <f>B347</f>
        <v>#N/A</v>
      </c>
      <c r="C277" s="84" t="e">
        <f t="shared" si="35"/>
        <v>#N/A</v>
      </c>
    </row>
    <row r="278" spans="1:3" x14ac:dyDescent="0.25">
      <c r="A278" s="182" t="s">
        <v>249</v>
      </c>
      <c r="B278" s="84" t="e">
        <f>(Resultattabell!C8-VLOOKUP(Inriktning,Tabellen, 19,FALSE))/VLOOKUP(Inriktning,Tabellen, 21,FALSE)</f>
        <v>#VALUE!</v>
      </c>
      <c r="C278" s="84" t="e">
        <f>IF(B278&gt;1,1,IF(B278&lt;0,0,B278))</f>
        <v>#VALUE!</v>
      </c>
    </row>
    <row r="279" spans="1:3" x14ac:dyDescent="0.25">
      <c r="A279" s="182" t="s">
        <v>135</v>
      </c>
      <c r="B279" s="84" t="e">
        <f>Ammoniaktabell!C82</f>
        <v>#DIV/0!</v>
      </c>
      <c r="C279" s="84" t="e">
        <f t="shared" si="35"/>
        <v>#DIV/0!</v>
      </c>
    </row>
    <row r="280" spans="1:3" x14ac:dyDescent="0.25">
      <c r="A280" s="182" t="s">
        <v>136</v>
      </c>
      <c r="B280" s="84" t="e">
        <f>G67</f>
        <v>#VALUE!</v>
      </c>
      <c r="C280" s="84" t="e">
        <f t="shared" si="35"/>
        <v>#VALUE!</v>
      </c>
    </row>
    <row r="281" spans="1:3" x14ac:dyDescent="0.25">
      <c r="A281" s="183" t="s">
        <v>333</v>
      </c>
      <c r="B281" s="84" t="str">
        <f>Resultattabell!C14</f>
        <v/>
      </c>
      <c r="C281" s="84" t="str">
        <f t="shared" ref="C281:C282" si="36">IF(B281="","",IF(B281&gt;1,1,IF(B281&lt;0,0,B281)))</f>
        <v/>
      </c>
    </row>
    <row r="282" spans="1:3" x14ac:dyDescent="0.25">
      <c r="A282" s="183" t="s">
        <v>334</v>
      </c>
      <c r="B282" s="84" t="str">
        <f>Växtskydd!O5</f>
        <v/>
      </c>
      <c r="C282" s="84" t="str">
        <f t="shared" si="36"/>
        <v/>
      </c>
    </row>
    <row r="283" spans="1:3" x14ac:dyDescent="0.25">
      <c r="A283" s="183" t="s">
        <v>336</v>
      </c>
      <c r="B283" s="84" t="str">
        <f>IF(Växtskydd!J50="Ja","",)</f>
        <v/>
      </c>
      <c r="C283" s="84" t="str">
        <f>IF(B283="","",IF(B283&gt;1,1,IF(B283&lt;0,0,B283)))</f>
        <v/>
      </c>
    </row>
    <row r="284" spans="1:3" x14ac:dyDescent="0.25">
      <c r="A284" s="183" t="s">
        <v>335</v>
      </c>
      <c r="B284" s="84" t="str">
        <f>IF(Växtskydd!J56="Ja","",)</f>
        <v/>
      </c>
      <c r="C284" s="84" t="str">
        <f t="shared" ref="C284:C286" si="37">IF(B284="","",IF(B284&gt;1,1,IF(B284&lt;0,0,B284)))</f>
        <v/>
      </c>
    </row>
    <row r="285" spans="1:3" x14ac:dyDescent="0.25">
      <c r="A285" s="183" t="s">
        <v>337</v>
      </c>
      <c r="B285" s="84" t="str">
        <f>IF(Växtskydd!J61="Ja","",)</f>
        <v/>
      </c>
      <c r="C285" s="84" t="str">
        <f t="shared" si="37"/>
        <v/>
      </c>
    </row>
    <row r="286" spans="1:3" x14ac:dyDescent="0.25">
      <c r="A286" s="183" t="s">
        <v>338</v>
      </c>
      <c r="B286" s="84" t="str">
        <f>IF(Växtskydd!J67="Ja","",)</f>
        <v/>
      </c>
      <c r="C286" s="84" t="str">
        <f t="shared" si="37"/>
        <v/>
      </c>
    </row>
    <row r="287" spans="1:3" x14ac:dyDescent="0.25">
      <c r="A287" s="183" t="s">
        <v>351</v>
      </c>
    </row>
    <row r="288" spans="1:3" x14ac:dyDescent="0.25">
      <c r="A288" s="94" t="s">
        <v>144</v>
      </c>
      <c r="B288" s="84" t="str">
        <f>Resultattabell!C26</f>
        <v/>
      </c>
      <c r="C288" s="84" t="str">
        <f>IF(B288="","",IF(B288&gt;1,1,IF(B288&lt;0,0,B288)))</f>
        <v/>
      </c>
    </row>
    <row r="289" spans="1:3" x14ac:dyDescent="0.25">
      <c r="A289" s="94" t="s">
        <v>145</v>
      </c>
      <c r="B289" s="84" t="str">
        <f>Resultattabell!C27</f>
        <v/>
      </c>
      <c r="C289" s="84" t="str">
        <f t="shared" ref="C289:C291" si="38">IF(B289="","",IF(B289&gt;1,1,IF(B289&lt;0,0,B289)))</f>
        <v/>
      </c>
    </row>
    <row r="290" spans="1:3" x14ac:dyDescent="0.25">
      <c r="A290" s="94" t="s">
        <v>146</v>
      </c>
      <c r="B290" s="84" t="str">
        <f>Resultattabell!C28</f>
        <v/>
      </c>
      <c r="C290" s="84" t="str">
        <f t="shared" si="38"/>
        <v/>
      </c>
    </row>
    <row r="291" spans="1:3" x14ac:dyDescent="0.25">
      <c r="A291" s="94" t="s">
        <v>147</v>
      </c>
      <c r="B291" s="84" t="str">
        <f>Resultattabell!C29</f>
        <v/>
      </c>
      <c r="C291" s="84" t="str">
        <f t="shared" si="38"/>
        <v/>
      </c>
    </row>
    <row r="292" spans="1:3" x14ac:dyDescent="0.25">
      <c r="A292" s="94" t="s">
        <v>352</v>
      </c>
      <c r="B292" s="84" t="str">
        <f>B172</f>
        <v/>
      </c>
      <c r="C292" s="84" t="str">
        <f>IF(B292="","",IF(B292&gt;1,1,IF(B292&lt;0,0,B292)))</f>
        <v/>
      </c>
    </row>
    <row r="293" spans="1:3" x14ac:dyDescent="0.25">
      <c r="A293" s="182" t="s">
        <v>149</v>
      </c>
    </row>
    <row r="294" spans="1:3" x14ac:dyDescent="0.25">
      <c r="A294" s="94" t="s">
        <v>150</v>
      </c>
      <c r="B294" s="84" t="e">
        <f>1-(Resultattabell!C35-VLOOKUP(Inriktning,Tabellen, 22,FALSE))/VLOOKUP(Inriktning,Tabellen, 24,FALSE)</f>
        <v>#VALUE!</v>
      </c>
      <c r="C294" s="84" t="e">
        <f t="shared" ref="C294:C299" si="39">IF(B294&gt;1,1,IF(B294&lt;0,0,B294))</f>
        <v>#VALUE!</v>
      </c>
    </row>
    <row r="295" spans="1:3" x14ac:dyDescent="0.25">
      <c r="A295" s="94" t="s">
        <v>151</v>
      </c>
      <c r="B295" s="84" t="e">
        <f>1-(Resultattabell!C36-VLOOKUP(Inriktning,Tabellen, 22,FALSE))/VLOOKUP(Inriktning,Tabellen, 24,FALSE)</f>
        <v>#VALUE!</v>
      </c>
      <c r="C295" s="84" t="e">
        <f t="shared" si="39"/>
        <v>#VALUE!</v>
      </c>
    </row>
    <row r="296" spans="1:3" x14ac:dyDescent="0.25">
      <c r="A296" s="94">
        <f>'Klimat och Energi'!B12</f>
        <v>0</v>
      </c>
      <c r="B296" s="84" t="e">
        <f>1-(Resultattabell!C37-VLOOKUP(A296,$A$131:$G$146, 5,FALSE))/VLOOKUP(A296,$A$131:$G$146, 7,FALSE)</f>
        <v>#VALUE!</v>
      </c>
      <c r="C296" s="84" t="e">
        <f t="shared" si="39"/>
        <v>#VALUE!</v>
      </c>
    </row>
    <row r="297" spans="1:3" x14ac:dyDescent="0.25">
      <c r="A297" s="94">
        <f>'Klimat och Energi'!B13</f>
        <v>0</v>
      </c>
      <c r="B297" s="84" t="e">
        <f>1-(Resultattabell!C38-VLOOKUP(A297,$A$131:$G$146, 5,FALSE))/VLOOKUP(A297,$A$131:$G$146, 7,FALSE)</f>
        <v>#VALUE!</v>
      </c>
      <c r="C297" s="84" t="e">
        <f t="shared" si="39"/>
        <v>#VALUE!</v>
      </c>
    </row>
    <row r="298" spans="1:3" x14ac:dyDescent="0.25">
      <c r="A298" s="94" t="s">
        <v>5</v>
      </c>
      <c r="B298" s="84" t="str">
        <f>IF(Resultattabell!C39="","",(Resultattabell!C39-C34)/D35)</f>
        <v/>
      </c>
      <c r="C298" s="84" t="str">
        <f>IF(B298="","",IF(B298&gt;1,1,IF(B298&lt;0,0,B298)))</f>
        <v/>
      </c>
    </row>
    <row r="299" spans="1:3" x14ac:dyDescent="0.25">
      <c r="A299" s="94" t="s">
        <v>126</v>
      </c>
      <c r="B299" s="84" t="e">
        <f>VLOOKUP(Resultattabell!C40,A153:B155,2,FALSE)/2</f>
        <v>#N/A</v>
      </c>
      <c r="C299" s="84" t="e">
        <f t="shared" si="39"/>
        <v>#N/A</v>
      </c>
    </row>
    <row r="300" spans="1:3" x14ac:dyDescent="0.25">
      <c r="A300" s="1" t="s">
        <v>7</v>
      </c>
      <c r="B300" s="84" t="str">
        <f>IFERROR("",1-(Resultattabell!C43-VLOOKUP(Inriktning,Tabellen, 25,FALSE))/VLOOKUP(Inriktning,Tabellen, 27,FALSE))</f>
        <v/>
      </c>
      <c r="C300" s="84" t="str">
        <f>IF(B300="","",IF(B300&gt;1,1,IF(B300&lt;0,0,B300)))</f>
        <v/>
      </c>
    </row>
    <row r="301" spans="1:3" x14ac:dyDescent="0.25">
      <c r="A301" s="1" t="s">
        <v>8</v>
      </c>
      <c r="B301" s="84" t="str">
        <f>IF(Resultattabell!C44="","",(Resultattabell!C44-E34)/F35)</f>
        <v/>
      </c>
      <c r="C301" s="84" t="str">
        <f t="shared" ref="C301:C302" si="40">IF(B301="","",IF(B301&gt;1,1,IF(B301&lt;0,0,B301)))</f>
        <v/>
      </c>
    </row>
    <row r="302" spans="1:3" x14ac:dyDescent="0.25">
      <c r="A302" s="1" t="s">
        <v>241</v>
      </c>
      <c r="B302" s="84" t="str">
        <f>Resultattabell!C45</f>
        <v/>
      </c>
      <c r="C302" s="84" t="str">
        <f t="shared" si="40"/>
        <v/>
      </c>
    </row>
    <row r="307" spans="1:2" x14ac:dyDescent="0.25">
      <c r="A307" s="1" t="s">
        <v>361</v>
      </c>
      <c r="B307" s="1" t="s">
        <v>383</v>
      </c>
    </row>
    <row r="308" spans="1:2" x14ac:dyDescent="0.25">
      <c r="A308" s="1" t="s">
        <v>362</v>
      </c>
      <c r="B308" s="1">
        <v>2</v>
      </c>
    </row>
    <row r="309" spans="1:2" x14ac:dyDescent="0.25">
      <c r="A309" s="1" t="s">
        <v>363</v>
      </c>
      <c r="B309" s="1">
        <v>2</v>
      </c>
    </row>
    <row r="310" spans="1:2" x14ac:dyDescent="0.25">
      <c r="A310" s="1" t="s">
        <v>364</v>
      </c>
      <c r="B310" s="1">
        <v>2</v>
      </c>
    </row>
    <row r="311" spans="1:2" x14ac:dyDescent="0.25">
      <c r="A311" s="1" t="s">
        <v>365</v>
      </c>
      <c r="B311" s="1">
        <v>2</v>
      </c>
    </row>
    <row r="312" spans="1:2" x14ac:dyDescent="0.25">
      <c r="A312" s="1" t="s">
        <v>366</v>
      </c>
      <c r="B312" s="1">
        <v>1</v>
      </c>
    </row>
    <row r="313" spans="1:2" x14ac:dyDescent="0.25">
      <c r="A313" s="1" t="s">
        <v>367</v>
      </c>
      <c r="B313" s="1">
        <v>3</v>
      </c>
    </row>
    <row r="314" spans="1:2" x14ac:dyDescent="0.25">
      <c r="A314" s="1" t="s">
        <v>368</v>
      </c>
      <c r="B314" s="1">
        <v>1</v>
      </c>
    </row>
    <row r="315" spans="1:2" x14ac:dyDescent="0.25">
      <c r="A315" s="1" t="s">
        <v>369</v>
      </c>
      <c r="B315" s="1">
        <v>2</v>
      </c>
    </row>
    <row r="316" spans="1:2" x14ac:dyDescent="0.25">
      <c r="A316" s="1" t="s">
        <v>370</v>
      </c>
      <c r="B316" s="1">
        <v>1</v>
      </c>
    </row>
    <row r="317" spans="1:2" x14ac:dyDescent="0.25">
      <c r="A317" s="1" t="s">
        <v>371</v>
      </c>
      <c r="B317" s="1">
        <v>3</v>
      </c>
    </row>
    <row r="318" spans="1:2" x14ac:dyDescent="0.25">
      <c r="A318" s="1" t="s">
        <v>372</v>
      </c>
      <c r="B318" s="1">
        <v>1</v>
      </c>
    </row>
    <row r="319" spans="1:2" x14ac:dyDescent="0.25">
      <c r="A319" s="1" t="s">
        <v>373</v>
      </c>
      <c r="B319" s="1">
        <v>2</v>
      </c>
    </row>
    <row r="320" spans="1:2" x14ac:dyDescent="0.25">
      <c r="A320" s="1" t="s">
        <v>374</v>
      </c>
      <c r="B320" s="1">
        <v>2</v>
      </c>
    </row>
    <row r="321" spans="1:10" x14ac:dyDescent="0.25">
      <c r="A321" s="1" t="s">
        <v>375</v>
      </c>
      <c r="B321" s="1">
        <v>2</v>
      </c>
    </row>
    <row r="322" spans="1:10" x14ac:dyDescent="0.25">
      <c r="A322" s="1" t="s">
        <v>376</v>
      </c>
      <c r="B322" s="1">
        <v>1</v>
      </c>
    </row>
    <row r="323" spans="1:10" x14ac:dyDescent="0.25">
      <c r="A323" s="1" t="s">
        <v>377</v>
      </c>
      <c r="B323" s="1">
        <v>3</v>
      </c>
    </row>
    <row r="324" spans="1:10" x14ac:dyDescent="0.25">
      <c r="A324" s="1" t="s">
        <v>378</v>
      </c>
      <c r="B324" s="1">
        <v>3</v>
      </c>
    </row>
    <row r="325" spans="1:10" x14ac:dyDescent="0.25">
      <c r="A325" s="1" t="s">
        <v>379</v>
      </c>
      <c r="B325" s="1">
        <v>2</v>
      </c>
    </row>
    <row r="326" spans="1:10" x14ac:dyDescent="0.25">
      <c r="A326" s="1" t="s">
        <v>380</v>
      </c>
      <c r="B326" s="1">
        <v>1</v>
      </c>
    </row>
    <row r="327" spans="1:10" x14ac:dyDescent="0.25">
      <c r="A327" s="1" t="s">
        <v>381</v>
      </c>
      <c r="B327" s="1">
        <v>2</v>
      </c>
    </row>
    <row r="328" spans="1:10" x14ac:dyDescent="0.25">
      <c r="A328" s="1" t="s">
        <v>382</v>
      </c>
      <c r="B328" s="1">
        <v>2</v>
      </c>
    </row>
    <row r="330" spans="1:10" x14ac:dyDescent="0.25">
      <c r="A330" s="1" t="s">
        <v>392</v>
      </c>
      <c r="B330" s="1" t="e">
        <f>VLOOKUP(Introduktion!C15,Tabeller!A308:B328,2,FALSE)</f>
        <v>#N/A</v>
      </c>
    </row>
    <row r="332" spans="1:10" ht="13" x14ac:dyDescent="0.3">
      <c r="A332" s="83" t="s">
        <v>393</v>
      </c>
    </row>
    <row r="333" spans="1:10" x14ac:dyDescent="0.25">
      <c r="A333" s="1" t="s">
        <v>384</v>
      </c>
      <c r="B333" s="1" t="s">
        <v>388</v>
      </c>
      <c r="C333" s="1" t="s">
        <v>389</v>
      </c>
      <c r="D333" s="1" t="s">
        <v>390</v>
      </c>
      <c r="E333" s="1" t="s">
        <v>425</v>
      </c>
      <c r="F333" s="1" t="s">
        <v>226</v>
      </c>
      <c r="G333" s="1" t="s">
        <v>224</v>
      </c>
      <c r="H333" s="1" t="s">
        <v>319</v>
      </c>
      <c r="I333" s="1" t="s">
        <v>43</v>
      </c>
      <c r="J333" s="1" t="s">
        <v>344</v>
      </c>
    </row>
    <row r="334" spans="1:10" x14ac:dyDescent="0.25">
      <c r="A334" s="1" t="s">
        <v>385</v>
      </c>
      <c r="B334" s="1">
        <v>20</v>
      </c>
      <c r="C334" s="1">
        <v>12</v>
      </c>
      <c r="D334" s="1">
        <v>8</v>
      </c>
      <c r="E334" s="1">
        <v>0.5</v>
      </c>
      <c r="F334" s="1" t="e">
        <f>-3*E334+$B$340</f>
        <v>#N/A</v>
      </c>
      <c r="G334" s="1" t="e">
        <f>3*E334+$B$340</f>
        <v>#N/A</v>
      </c>
      <c r="H334" s="1" t="e">
        <f>-6*E334+$B$340</f>
        <v>#N/A</v>
      </c>
      <c r="I334" s="1" t="e">
        <f>6*E334+$B$340</f>
        <v>#N/A</v>
      </c>
      <c r="J334" s="1" t="e">
        <f>I334-H334</f>
        <v>#N/A</v>
      </c>
    </row>
    <row r="335" spans="1:10" x14ac:dyDescent="0.25">
      <c r="A335" s="1" t="s">
        <v>386</v>
      </c>
      <c r="B335" s="1">
        <v>35</v>
      </c>
      <c r="C335" s="1">
        <v>27</v>
      </c>
      <c r="D335" s="1">
        <v>23</v>
      </c>
      <c r="E335" s="1">
        <v>1.5</v>
      </c>
      <c r="F335" s="1" t="e">
        <f t="shared" ref="F335:F336" si="41">-3*E335+$B$340</f>
        <v>#N/A</v>
      </c>
      <c r="G335" s="1" t="e">
        <f t="shared" ref="G335:G336" si="42">3*E335+$B$340</f>
        <v>#N/A</v>
      </c>
      <c r="H335" s="1" t="e">
        <f t="shared" ref="H335:H336" si="43">-6*E335+$B$340</f>
        <v>#N/A</v>
      </c>
      <c r="I335" s="1" t="e">
        <f t="shared" ref="I335:I336" si="44">6*E335+$B$340</f>
        <v>#N/A</v>
      </c>
      <c r="J335" s="1" t="e">
        <f t="shared" ref="J335:J336" si="45">I335-H335</f>
        <v>#N/A</v>
      </c>
    </row>
    <row r="336" spans="1:10" x14ac:dyDescent="0.25">
      <c r="A336" s="1" t="s">
        <v>387</v>
      </c>
      <c r="B336" s="1">
        <v>47</v>
      </c>
      <c r="C336" s="1">
        <v>34</v>
      </c>
      <c r="D336" s="1">
        <v>35</v>
      </c>
      <c r="E336" s="1">
        <v>2</v>
      </c>
      <c r="F336" s="1" t="e">
        <f t="shared" si="41"/>
        <v>#N/A</v>
      </c>
      <c r="G336" s="1" t="e">
        <f t="shared" si="42"/>
        <v>#N/A</v>
      </c>
      <c r="H336" s="1" t="e">
        <f t="shared" si="43"/>
        <v>#N/A</v>
      </c>
      <c r="I336" s="1" t="e">
        <f t="shared" si="44"/>
        <v>#N/A</v>
      </c>
      <c r="J336" s="1" t="e">
        <f t="shared" si="45"/>
        <v>#N/A</v>
      </c>
    </row>
    <row r="338" spans="1:2" x14ac:dyDescent="0.25">
      <c r="A338" s="1" t="s">
        <v>425</v>
      </c>
      <c r="B338" s="1" t="e">
        <f>VLOOKUP(Introduktion!C16,A334:E336,5,FALSE)</f>
        <v>#N/A</v>
      </c>
    </row>
    <row r="340" spans="1:2" x14ac:dyDescent="0.25">
      <c r="A340" s="1" t="s">
        <v>391</v>
      </c>
      <c r="B340" s="1" t="e">
        <f>VLOOKUP(Introduktion!C16,Tabeller!A334:D336,B330+1,FALSE)</f>
        <v>#N/A</v>
      </c>
    </row>
    <row r="341" spans="1:2" x14ac:dyDescent="0.25">
      <c r="A341" s="1" t="s">
        <v>426</v>
      </c>
      <c r="B341" s="181" t="e">
        <f>Läckagetabell!C32</f>
        <v>#N/A</v>
      </c>
    </row>
    <row r="342" spans="1:2" x14ac:dyDescent="0.25">
      <c r="A342" s="1" t="s">
        <v>437</v>
      </c>
      <c r="B342" s="181" t="str">
        <f>IFERROR(B340+B341,"")</f>
        <v/>
      </c>
    </row>
    <row r="343" spans="1:2" x14ac:dyDescent="0.25">
      <c r="A343" s="1" t="s">
        <v>436</v>
      </c>
      <c r="B343" s="181" t="str">
        <f>IF(Övergödning!B11="","",Övergödning!B11)</f>
        <v/>
      </c>
    </row>
    <row r="344" spans="1:2" x14ac:dyDescent="0.25">
      <c r="A344" s="1" t="s">
        <v>438</v>
      </c>
      <c r="B344" s="181" t="str">
        <f>IF(B343="",B342,B343)</f>
        <v/>
      </c>
    </row>
    <row r="345" spans="1:2" x14ac:dyDescent="0.25">
      <c r="A345" s="1" t="s">
        <v>427</v>
      </c>
      <c r="B345" s="1" t="e">
        <f>VLOOKUP(Introduktion!$C$16,$A$334:$J$336,6,FALSE)</f>
        <v>#N/A</v>
      </c>
    </row>
    <row r="346" spans="1:2" x14ac:dyDescent="0.25">
      <c r="A346" s="1" t="s">
        <v>428</v>
      </c>
      <c r="B346" s="1" t="e">
        <f>VLOOKUP(Introduktion!$C$16,$A$334:$J$336,7,FALSE)</f>
        <v>#N/A</v>
      </c>
    </row>
    <row r="347" spans="1:2" x14ac:dyDescent="0.25">
      <c r="A347" s="1" t="s">
        <v>259</v>
      </c>
      <c r="B347" s="85" t="e">
        <f>1-(-VLOOKUP(Introduktion!$C$16,$A$334:$J$336,8,FALSE)+Resultattabell!C7)/VLOOKUP(Introduktion!$C$16,$A$334:$J$336,10,FALSE)</f>
        <v>#N/A</v>
      </c>
    </row>
    <row r="350" spans="1:2" x14ac:dyDescent="0.25">
      <c r="A350" s="1" t="s">
        <v>541</v>
      </c>
    </row>
    <row r="351" spans="1:2" x14ac:dyDescent="0.25">
      <c r="A351" s="1" t="s">
        <v>540</v>
      </c>
    </row>
    <row r="352" spans="1:2" x14ac:dyDescent="0.25">
      <c r="A352" s="1" t="s">
        <v>26</v>
      </c>
    </row>
  </sheetData>
  <mergeCells count="9">
    <mergeCell ref="Y5:AA5"/>
    <mergeCell ref="V5:X5"/>
    <mergeCell ref="E129:G129"/>
    <mergeCell ref="B5:C5"/>
    <mergeCell ref="D5:E5"/>
    <mergeCell ref="F5:J5"/>
    <mergeCell ref="K5:M5"/>
    <mergeCell ref="P5:R5"/>
    <mergeCell ref="S5:U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AA83B-1369-4848-8A0E-9532FBB6FF13}">
  <sheetPr>
    <tabColor theme="0"/>
  </sheetPr>
  <dimension ref="A1:E104"/>
  <sheetViews>
    <sheetView workbookViewId="0"/>
  </sheetViews>
  <sheetFormatPr defaultColWidth="8.58203125" defaultRowHeight="12.5" x14ac:dyDescent="0.25"/>
  <cols>
    <col min="1" max="1" width="8.58203125" style="1"/>
    <col min="2" max="2" width="63.83203125" style="1" customWidth="1"/>
    <col min="3" max="3" width="8.58203125" style="1"/>
    <col min="4" max="4" width="10.83203125" style="1" bestFit="1" customWidth="1"/>
    <col min="5" max="16384" width="8.58203125" style="1"/>
  </cols>
  <sheetData>
    <row r="1" spans="1:5" ht="14" x14ac:dyDescent="0.3">
      <c r="A1"/>
      <c r="B1" s="1" t="s">
        <v>196</v>
      </c>
      <c r="D1" s="85">
        <f>Övergödning!B4</f>
        <v>0</v>
      </c>
    </row>
    <row r="3" spans="1:5" x14ac:dyDescent="0.25">
      <c r="B3" s="1" t="s">
        <v>274</v>
      </c>
      <c r="D3" s="1" t="str">
        <f>Övergödning!C14</f>
        <v/>
      </c>
    </row>
    <row r="4" spans="1:5" x14ac:dyDescent="0.25">
      <c r="D4" s="1" t="str">
        <f>IFERROR(VLOOKUP(D3,B85:C87,2,FALSE),"")</f>
        <v/>
      </c>
    </row>
    <row r="6" spans="1:5" ht="13" x14ac:dyDescent="0.3">
      <c r="B6" s="83" t="s">
        <v>197</v>
      </c>
      <c r="D6" s="1">
        <f>IF(D3="",IF(Ammoniak!C6="",0,VLOOKUP(Ammoniak!C6,Ammoniaktabell!B7:C9,2,FALSE))*C$68,D4)</f>
        <v>0</v>
      </c>
    </row>
    <row r="7" spans="1:5" ht="14" x14ac:dyDescent="0.3">
      <c r="B7" s="125" t="s">
        <v>260</v>
      </c>
      <c r="C7" s="1">
        <v>-1</v>
      </c>
    </row>
    <row r="8" spans="1:5" ht="14" x14ac:dyDescent="0.3">
      <c r="B8" s="125" t="s">
        <v>261</v>
      </c>
      <c r="C8" s="1">
        <v>0</v>
      </c>
    </row>
    <row r="9" spans="1:5" ht="14" x14ac:dyDescent="0.3">
      <c r="B9" s="125" t="s">
        <v>275</v>
      </c>
      <c r="C9" s="1">
        <v>1</v>
      </c>
    </row>
    <row r="11" spans="1:5" ht="13" x14ac:dyDescent="0.3">
      <c r="B11" s="83" t="s">
        <v>198</v>
      </c>
      <c r="D11" s="1">
        <f>IF(Ammoniak!C7="",0,VLOOKUP(Ammoniak!C7,Ammoniaktabell!B12:C14,2,FALSE))*C$68</f>
        <v>0</v>
      </c>
      <c r="E11" s="181"/>
    </row>
    <row r="12" spans="1:5" ht="14" x14ac:dyDescent="0.3">
      <c r="B12" s="125" t="s">
        <v>276</v>
      </c>
      <c r="C12" s="1">
        <v>-1</v>
      </c>
    </row>
    <row r="13" spans="1:5" ht="14" x14ac:dyDescent="0.3">
      <c r="B13" s="125" t="s">
        <v>277</v>
      </c>
      <c r="C13" s="1">
        <v>0</v>
      </c>
    </row>
    <row r="14" spans="1:5" ht="14" x14ac:dyDescent="0.3">
      <c r="B14" s="125" t="s">
        <v>278</v>
      </c>
      <c r="C14" s="1">
        <v>1</v>
      </c>
    </row>
    <row r="16" spans="1:5" ht="13" x14ac:dyDescent="0.3">
      <c r="B16" s="83" t="s">
        <v>199</v>
      </c>
      <c r="D16" s="1">
        <f>IF(Ammoniak!C8="",0,VLOOKUP(Ammoniak!C8,Ammoniaktabell!B17:C19,2,FALSE))*C$68</f>
        <v>0</v>
      </c>
      <c r="E16" s="181"/>
    </row>
    <row r="17" spans="2:4" ht="14" x14ac:dyDescent="0.3">
      <c r="B17" s="125" t="s">
        <v>279</v>
      </c>
      <c r="C17" s="1">
        <v>-1</v>
      </c>
    </row>
    <row r="18" spans="2:4" ht="14" x14ac:dyDescent="0.3">
      <c r="B18" s="125" t="s">
        <v>262</v>
      </c>
      <c r="C18" s="1">
        <v>0</v>
      </c>
    </row>
    <row r="19" spans="2:4" ht="14" x14ac:dyDescent="0.3">
      <c r="B19" s="125" t="s">
        <v>280</v>
      </c>
      <c r="C19" s="1">
        <v>1</v>
      </c>
    </row>
    <row r="21" spans="2:4" ht="13" x14ac:dyDescent="0.3">
      <c r="B21" s="83" t="s">
        <v>200</v>
      </c>
      <c r="D21" s="85">
        <f>IF(Ammoniak!C12="",0,VLOOKUP(Ammoniak!C12,Ammoniaktabell!B22:C24,2,FALSE))*C$69</f>
        <v>0</v>
      </c>
    </row>
    <row r="22" spans="2:4" ht="14" x14ac:dyDescent="0.3">
      <c r="B22" t="s">
        <v>281</v>
      </c>
      <c r="C22" s="1">
        <v>-1</v>
      </c>
    </row>
    <row r="23" spans="2:4" ht="14" x14ac:dyDescent="0.3">
      <c r="B23" t="s">
        <v>263</v>
      </c>
      <c r="C23" s="1">
        <v>0</v>
      </c>
    </row>
    <row r="24" spans="2:4" ht="14" x14ac:dyDescent="0.3">
      <c r="B24" t="s">
        <v>282</v>
      </c>
      <c r="C24" s="1">
        <v>1</v>
      </c>
    </row>
    <row r="26" spans="2:4" ht="13" x14ac:dyDescent="0.3">
      <c r="B26" s="83" t="s">
        <v>201</v>
      </c>
      <c r="D26" s="85">
        <f>IF(Ammoniak!C13="",0,VLOOKUP(Ammoniak!C13,Ammoniaktabell!B27:C29,2,FALSE))*C$69</f>
        <v>0</v>
      </c>
    </row>
    <row r="27" spans="2:4" ht="14" x14ac:dyDescent="0.3">
      <c r="B27" t="s">
        <v>264</v>
      </c>
      <c r="C27" s="1">
        <v>-1</v>
      </c>
    </row>
    <row r="28" spans="2:4" ht="14" x14ac:dyDescent="0.3">
      <c r="B28" t="s">
        <v>265</v>
      </c>
      <c r="C28" s="1">
        <v>0</v>
      </c>
    </row>
    <row r="29" spans="2:4" ht="14" x14ac:dyDescent="0.3">
      <c r="B29" t="s">
        <v>185</v>
      </c>
      <c r="C29" s="1">
        <v>1</v>
      </c>
    </row>
    <row r="31" spans="2:4" ht="13" x14ac:dyDescent="0.3">
      <c r="B31" s="83" t="s">
        <v>202</v>
      </c>
      <c r="D31" s="85">
        <f>IF(Ammoniak!C14="",0,VLOOKUP(Ammoniak!C14,Ammoniaktabell!B32:C34,2,FALSE))*C$69</f>
        <v>0</v>
      </c>
    </row>
    <row r="32" spans="2:4" ht="14" x14ac:dyDescent="0.3">
      <c r="B32" t="s">
        <v>266</v>
      </c>
      <c r="C32" s="1">
        <v>-1</v>
      </c>
    </row>
    <row r="33" spans="2:4" ht="14" x14ac:dyDescent="0.3">
      <c r="B33" t="s">
        <v>267</v>
      </c>
      <c r="C33" s="1">
        <v>0</v>
      </c>
    </row>
    <row r="34" spans="2:4" ht="14" x14ac:dyDescent="0.3">
      <c r="B34" t="s">
        <v>268</v>
      </c>
      <c r="C34" s="1">
        <v>1</v>
      </c>
    </row>
    <row r="36" spans="2:4" ht="13" x14ac:dyDescent="0.3">
      <c r="B36" s="83" t="s">
        <v>203</v>
      </c>
      <c r="D36" s="85">
        <f>IF(Ammoniak!C18="",0,VLOOKUP(Ammoniak!C18,Ammoniaktabell!B37:C39,2,FALSE))*C$70</f>
        <v>0</v>
      </c>
    </row>
    <row r="37" spans="2:4" ht="14" x14ac:dyDescent="0.3">
      <c r="B37" t="s">
        <v>270</v>
      </c>
      <c r="C37" s="1">
        <v>-1</v>
      </c>
    </row>
    <row r="38" spans="2:4" ht="14" x14ac:dyDescent="0.3">
      <c r="B38" t="s">
        <v>271</v>
      </c>
      <c r="C38" s="1">
        <v>0</v>
      </c>
    </row>
    <row r="39" spans="2:4" ht="14" x14ac:dyDescent="0.3">
      <c r="B39" t="s">
        <v>292</v>
      </c>
      <c r="C39" s="1">
        <v>1</v>
      </c>
    </row>
    <row r="41" spans="2:4" ht="13" x14ac:dyDescent="0.3">
      <c r="B41" s="83" t="s">
        <v>204</v>
      </c>
      <c r="D41" s="85">
        <f>IF(Ammoniak!C19="",0,VLOOKUP(Ammoniak!C19,Ammoniaktabell!B42:C44,2,FALSE))*C$70</f>
        <v>0</v>
      </c>
    </row>
    <row r="42" spans="2:4" ht="14" x14ac:dyDescent="0.3">
      <c r="B42" t="s">
        <v>291</v>
      </c>
      <c r="C42" s="1">
        <v>-1</v>
      </c>
    </row>
    <row r="43" spans="2:4" ht="14" x14ac:dyDescent="0.3">
      <c r="B43" t="s">
        <v>290</v>
      </c>
      <c r="C43" s="1">
        <v>0</v>
      </c>
    </row>
    <row r="44" spans="2:4" ht="14" x14ac:dyDescent="0.3">
      <c r="B44" t="s">
        <v>289</v>
      </c>
      <c r="C44" s="1">
        <v>1</v>
      </c>
    </row>
    <row r="46" spans="2:4" ht="13" x14ac:dyDescent="0.3">
      <c r="B46" s="83" t="s">
        <v>205</v>
      </c>
      <c r="D46" s="85">
        <f>IF(Ammoniak!C20="",0,VLOOKUP(Ammoniak!C20,Ammoniaktabell!B47:C49,2,FALSE))*C$70</f>
        <v>0</v>
      </c>
    </row>
    <row r="47" spans="2:4" ht="14" x14ac:dyDescent="0.3">
      <c r="B47" t="s">
        <v>288</v>
      </c>
      <c r="C47" s="1">
        <v>-1</v>
      </c>
    </row>
    <row r="48" spans="2:4" ht="14" x14ac:dyDescent="0.3">
      <c r="B48" t="s">
        <v>287</v>
      </c>
      <c r="C48" s="1">
        <v>0</v>
      </c>
    </row>
    <row r="49" spans="2:4" ht="14" x14ac:dyDescent="0.3">
      <c r="B49" t="s">
        <v>269</v>
      </c>
      <c r="C49" s="1">
        <v>1</v>
      </c>
    </row>
    <row r="51" spans="2:4" ht="13" x14ac:dyDescent="0.3">
      <c r="B51" s="83" t="s">
        <v>206</v>
      </c>
      <c r="D51" s="85">
        <f>IF(Ammoniak!C24="",0,VLOOKUP(Ammoniak!C24,Ammoniaktabell!B52:C54,2,FALSE))*C$71</f>
        <v>0</v>
      </c>
    </row>
    <row r="52" spans="2:4" ht="14" x14ac:dyDescent="0.3">
      <c r="B52" t="s">
        <v>283</v>
      </c>
      <c r="C52" s="1">
        <v>-1</v>
      </c>
    </row>
    <row r="53" spans="2:4" ht="14" x14ac:dyDescent="0.3">
      <c r="B53" t="s">
        <v>536</v>
      </c>
      <c r="C53" s="1">
        <v>0</v>
      </c>
    </row>
    <row r="54" spans="2:4" ht="14" x14ac:dyDescent="0.3">
      <c r="B54" t="s">
        <v>207</v>
      </c>
      <c r="C54" s="1">
        <v>1</v>
      </c>
    </row>
    <row r="56" spans="2:4" ht="13" x14ac:dyDescent="0.3">
      <c r="B56" s="83" t="s">
        <v>208</v>
      </c>
      <c r="D56" s="85">
        <f>IF(Ammoniak!C25="",0,VLOOKUP(Ammoniak!C25,Ammoniaktabell!B57:C59,2,FALSE))*C$71</f>
        <v>0</v>
      </c>
    </row>
    <row r="57" spans="2:4" ht="14" x14ac:dyDescent="0.3">
      <c r="B57" t="s">
        <v>272</v>
      </c>
      <c r="C57" s="1">
        <v>-1</v>
      </c>
    </row>
    <row r="58" spans="2:4" ht="14" x14ac:dyDescent="0.3">
      <c r="B58" s="126" t="s">
        <v>209</v>
      </c>
      <c r="C58" s="1">
        <v>0</v>
      </c>
    </row>
    <row r="59" spans="2:4" ht="14" x14ac:dyDescent="0.3">
      <c r="B59" t="s">
        <v>273</v>
      </c>
      <c r="C59" s="1">
        <v>1</v>
      </c>
    </row>
    <row r="61" spans="2:4" ht="13" x14ac:dyDescent="0.3">
      <c r="B61" s="83" t="s">
        <v>210</v>
      </c>
      <c r="D61" s="85">
        <f>IF(Ammoniak!C26="",0,VLOOKUP(Ammoniak!C26,Ammoniaktabell!B62:C64,2,FALSE))*C$71</f>
        <v>0</v>
      </c>
    </row>
    <row r="62" spans="2:4" ht="14" x14ac:dyDescent="0.3">
      <c r="B62" t="s">
        <v>284</v>
      </c>
      <c r="C62" s="1">
        <v>-1</v>
      </c>
    </row>
    <row r="63" spans="2:4" ht="14" x14ac:dyDescent="0.3">
      <c r="B63" t="s">
        <v>285</v>
      </c>
      <c r="C63" s="1">
        <v>0</v>
      </c>
    </row>
    <row r="64" spans="2:4" ht="14" x14ac:dyDescent="0.3">
      <c r="B64" t="s">
        <v>286</v>
      </c>
      <c r="C64" s="1">
        <v>1</v>
      </c>
    </row>
    <row r="67" spans="2:4" ht="13" x14ac:dyDescent="0.3">
      <c r="B67" s="83" t="s">
        <v>211</v>
      </c>
    </row>
    <row r="68" spans="2:4" x14ac:dyDescent="0.25">
      <c r="B68" s="1" t="s">
        <v>212</v>
      </c>
      <c r="C68" s="85">
        <f>0.6/3</f>
        <v>0.19999999999999998</v>
      </c>
    </row>
    <row r="69" spans="2:4" x14ac:dyDescent="0.25">
      <c r="B69" s="1" t="s">
        <v>213</v>
      </c>
      <c r="C69" s="85">
        <f>0.8/3</f>
        <v>0.26666666666666666</v>
      </c>
    </row>
    <row r="70" spans="2:4" x14ac:dyDescent="0.25">
      <c r="B70" s="1" t="s">
        <v>214</v>
      </c>
      <c r="C70" s="85">
        <f>1.2/3</f>
        <v>0.39999999999999997</v>
      </c>
    </row>
    <row r="71" spans="2:4" x14ac:dyDescent="0.25">
      <c r="B71" s="1" t="s">
        <v>215</v>
      </c>
      <c r="C71" s="85">
        <f>1.4/3</f>
        <v>0.46666666666666662</v>
      </c>
    </row>
    <row r="73" spans="2:4" ht="13" x14ac:dyDescent="0.3">
      <c r="B73" s="83" t="s">
        <v>216</v>
      </c>
      <c r="D73" s="2">
        <f>SUM(D6:D61)</f>
        <v>0</v>
      </c>
    </row>
    <row r="75" spans="2:4" ht="13" x14ac:dyDescent="0.3">
      <c r="B75" s="83" t="s">
        <v>239</v>
      </c>
      <c r="C75" s="1">
        <f>32*D1</f>
        <v>0</v>
      </c>
    </row>
    <row r="76" spans="2:4" x14ac:dyDescent="0.25">
      <c r="B76" s="1" t="s">
        <v>219</v>
      </c>
      <c r="C76" s="2">
        <f>C75+D73</f>
        <v>0</v>
      </c>
      <c r="D76" s="1" t="str">
        <f>IF(C92=0,"",IF(C76&lt;C78,"Grön",IF(C76&gt;C77,"Röd","Gul")))</f>
        <v/>
      </c>
    </row>
    <row r="77" spans="2:4" x14ac:dyDescent="0.25">
      <c r="B77" s="1" t="s">
        <v>221</v>
      </c>
      <c r="C77" s="1">
        <f>(1+Tabeller!B167)*Ammoniaktabell!C75</f>
        <v>0</v>
      </c>
      <c r="D77" s="2"/>
    </row>
    <row r="78" spans="2:4" x14ac:dyDescent="0.25">
      <c r="B78" s="1" t="s">
        <v>222</v>
      </c>
      <c r="C78" s="1">
        <f>(1-Tabeller!B167)*Ammoniaktabell!C75</f>
        <v>0</v>
      </c>
    </row>
    <row r="79" spans="2:4" x14ac:dyDescent="0.25">
      <c r="B79" s="1" t="s">
        <v>347</v>
      </c>
      <c r="C79" s="1">
        <f>2*(C77-C75)+C75</f>
        <v>0</v>
      </c>
    </row>
    <row r="80" spans="2:4" x14ac:dyDescent="0.25">
      <c r="B80" s="1" t="s">
        <v>348</v>
      </c>
      <c r="C80" s="1">
        <f>C75-2*(C75-C78)</f>
        <v>0</v>
      </c>
    </row>
    <row r="81" spans="2:3" x14ac:dyDescent="0.25">
      <c r="B81" s="1" t="s">
        <v>344</v>
      </c>
      <c r="C81" s="1">
        <f>C79-C80</f>
        <v>0</v>
      </c>
    </row>
    <row r="82" spans="2:3" x14ac:dyDescent="0.25">
      <c r="B82" s="1" t="s">
        <v>259</v>
      </c>
      <c r="C82" s="85" t="e">
        <f>1-(C76-C80)/C81</f>
        <v>#DIV/0!</v>
      </c>
    </row>
    <row r="84" spans="2:3" x14ac:dyDescent="0.25">
      <c r="B84" s="1" t="s">
        <v>173</v>
      </c>
      <c r="C84" s="1" t="s">
        <v>227</v>
      </c>
    </row>
    <row r="85" spans="2:3" x14ac:dyDescent="0.25">
      <c r="B85" s="1" t="s">
        <v>224</v>
      </c>
      <c r="C85" s="1">
        <v>0.2</v>
      </c>
    </row>
    <row r="86" spans="2:3" x14ac:dyDescent="0.25">
      <c r="B86" s="1" t="s">
        <v>225</v>
      </c>
      <c r="C86" s="1">
        <v>0</v>
      </c>
    </row>
    <row r="87" spans="2:3" x14ac:dyDescent="0.25">
      <c r="B87" s="1" t="s">
        <v>226</v>
      </c>
      <c r="C87" s="1">
        <v>-0.2</v>
      </c>
    </row>
    <row r="89" spans="2:3" x14ac:dyDescent="0.25">
      <c r="B89" s="1" t="s">
        <v>217</v>
      </c>
      <c r="C89" s="1" t="str">
        <f>IF(D3="","Nej","Ja")</f>
        <v>Nej</v>
      </c>
    </row>
    <row r="90" spans="2:3" x14ac:dyDescent="0.25">
      <c r="B90" s="1" t="s">
        <v>228</v>
      </c>
      <c r="C90" s="1" t="str">
        <f>IF(OR(Inriktning="Enbart växtodling",Inriktning="Eko enbart växtodling"),"Ja","Nej")</f>
        <v>Nej</v>
      </c>
    </row>
    <row r="92" spans="2:3" ht="13" x14ac:dyDescent="0.3">
      <c r="B92" s="83" t="s">
        <v>452</v>
      </c>
      <c r="C92" s="181">
        <f>SUM(C93:C104)</f>
        <v>0</v>
      </c>
    </row>
    <row r="93" spans="2:3" x14ac:dyDescent="0.25">
      <c r="B93" s="1" t="s">
        <v>316</v>
      </c>
      <c r="C93" s="181">
        <f>IF(Ammoniak!C6="",0,1)</f>
        <v>0</v>
      </c>
    </row>
    <row r="94" spans="2:3" x14ac:dyDescent="0.25">
      <c r="B94" s="1" t="s">
        <v>317</v>
      </c>
      <c r="C94" s="181">
        <f>IF(Ammoniak!C7="",0,1)</f>
        <v>0</v>
      </c>
    </row>
    <row r="95" spans="2:3" x14ac:dyDescent="0.25">
      <c r="B95" s="1" t="s">
        <v>443</v>
      </c>
      <c r="C95" s="181">
        <f>IF(Ammoniak!C8="",0,1)</f>
        <v>0</v>
      </c>
    </row>
    <row r="96" spans="2:3" x14ac:dyDescent="0.25">
      <c r="B96" s="1" t="s">
        <v>318</v>
      </c>
      <c r="C96" s="181">
        <f>IF(Ammoniak!C12="",0,1)</f>
        <v>0</v>
      </c>
    </row>
    <row r="97" spans="2:3" x14ac:dyDescent="0.25">
      <c r="B97" s="1" t="s">
        <v>444</v>
      </c>
      <c r="C97" s="181">
        <f>IF(Ammoniak!C13="",0,1)</f>
        <v>0</v>
      </c>
    </row>
    <row r="98" spans="2:3" x14ac:dyDescent="0.25">
      <c r="B98" s="1" t="s">
        <v>445</v>
      </c>
      <c r="C98" s="181">
        <f>IF(Ammoniak!C14="",0,1)</f>
        <v>0</v>
      </c>
    </row>
    <row r="99" spans="2:3" x14ac:dyDescent="0.25">
      <c r="B99" s="1" t="s">
        <v>446</v>
      </c>
      <c r="C99" s="181">
        <f>IF(Ammoniak!C18="",0,1)</f>
        <v>0</v>
      </c>
    </row>
    <row r="100" spans="2:3" x14ac:dyDescent="0.25">
      <c r="B100" s="1" t="s">
        <v>447</v>
      </c>
      <c r="C100" s="181">
        <f>IF(Ammoniak!C19="",0,1)</f>
        <v>0</v>
      </c>
    </row>
    <row r="101" spans="2:3" x14ac:dyDescent="0.25">
      <c r="B101" s="1" t="s">
        <v>448</v>
      </c>
      <c r="C101" s="181">
        <f>IF(Ammoniak!C20="",0,1)</f>
        <v>0</v>
      </c>
    </row>
    <row r="102" spans="2:3" x14ac:dyDescent="0.25">
      <c r="B102" s="1" t="s">
        <v>449</v>
      </c>
      <c r="C102" s="181">
        <f>IF(Ammoniak!C24="",0,1)</f>
        <v>0</v>
      </c>
    </row>
    <row r="103" spans="2:3" x14ac:dyDescent="0.25">
      <c r="B103" s="1" t="s">
        <v>450</v>
      </c>
      <c r="C103" s="181">
        <f>IF(Ammoniak!C25="",0,1)</f>
        <v>0</v>
      </c>
    </row>
    <row r="104" spans="2:3" x14ac:dyDescent="0.25">
      <c r="B104" s="1" t="s">
        <v>451</v>
      </c>
      <c r="C104" s="181">
        <f>IF(Ammoniak!C26="",0,1)</f>
        <v>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B7F98-DC92-496D-86C4-D48013390C7D}">
  <sheetPr>
    <tabColor theme="0"/>
  </sheetPr>
  <dimension ref="A2:D32"/>
  <sheetViews>
    <sheetView zoomScaleNormal="100" workbookViewId="0">
      <selection activeCell="C30" sqref="C30"/>
    </sheetView>
  </sheetViews>
  <sheetFormatPr defaultColWidth="8.58203125" defaultRowHeight="12.5" x14ac:dyDescent="0.25"/>
  <cols>
    <col min="1" max="1" width="63.58203125" style="1" customWidth="1"/>
    <col min="2" max="2" width="8.58203125" style="1"/>
    <col min="3" max="3" width="21.25" style="1" customWidth="1"/>
    <col min="4" max="16384" width="8.58203125" style="1"/>
  </cols>
  <sheetData>
    <row r="2" spans="1:4" ht="13" x14ac:dyDescent="0.3">
      <c r="A2" s="83" t="s">
        <v>421</v>
      </c>
      <c r="C2" s="181" t="e">
        <f>VLOOKUP(Utlakning!C6,Läckagetabell!A3:B5,2,FALSE)</f>
        <v>#N/A</v>
      </c>
    </row>
    <row r="3" spans="1:4" x14ac:dyDescent="0.25">
      <c r="A3" s="1" t="s">
        <v>422</v>
      </c>
      <c r="B3" s="1">
        <v>-1</v>
      </c>
      <c r="D3" s="1" t="s">
        <v>350</v>
      </c>
    </row>
    <row r="4" spans="1:4" ht="14" x14ac:dyDescent="0.3">
      <c r="A4" t="s">
        <v>423</v>
      </c>
      <c r="B4" s="1">
        <v>0</v>
      </c>
      <c r="D4" s="1" t="s">
        <v>404</v>
      </c>
    </row>
    <row r="5" spans="1:4" ht="14" x14ac:dyDescent="0.3">
      <c r="A5" t="s">
        <v>424</v>
      </c>
      <c r="B5" s="1">
        <v>1</v>
      </c>
      <c r="D5" s="1" t="s">
        <v>405</v>
      </c>
    </row>
    <row r="6" spans="1:4" ht="14" x14ac:dyDescent="0.3">
      <c r="A6"/>
    </row>
    <row r="7" spans="1:4" ht="13" x14ac:dyDescent="0.3">
      <c r="A7" s="83" t="s">
        <v>401</v>
      </c>
      <c r="C7" s="181" t="e">
        <f>VLOOKUP(Utlakning!C7,Läckagetabell!A8:B10,2,FALSE)</f>
        <v>#N/A</v>
      </c>
    </row>
    <row r="8" spans="1:4" ht="14" x14ac:dyDescent="0.3">
      <c r="A8" t="s">
        <v>402</v>
      </c>
      <c r="B8" s="1">
        <v>-1</v>
      </c>
      <c r="D8" s="1" t="s">
        <v>350</v>
      </c>
    </row>
    <row r="9" spans="1:4" ht="14" x14ac:dyDescent="0.3">
      <c r="A9" t="s">
        <v>403</v>
      </c>
      <c r="B9" s="1">
        <v>0</v>
      </c>
      <c r="D9" s="1" t="s">
        <v>404</v>
      </c>
    </row>
    <row r="10" spans="1:4" ht="14" x14ac:dyDescent="0.3">
      <c r="A10" t="s">
        <v>434</v>
      </c>
      <c r="B10" s="1">
        <v>1</v>
      </c>
      <c r="D10" s="1" t="s">
        <v>405</v>
      </c>
    </row>
    <row r="12" spans="1:4" ht="13" x14ac:dyDescent="0.3">
      <c r="A12" s="83" t="s">
        <v>406</v>
      </c>
      <c r="C12" s="181" t="e">
        <f>VLOOKUP(Utlakning!C8,Läckagetabell!A13:B15,2,FALSE)</f>
        <v>#N/A</v>
      </c>
    </row>
    <row r="13" spans="1:4" ht="14" x14ac:dyDescent="0.3">
      <c r="A13" t="s">
        <v>407</v>
      </c>
      <c r="B13" s="1">
        <v>-1</v>
      </c>
      <c r="D13" s="1" t="s">
        <v>350</v>
      </c>
    </row>
    <row r="14" spans="1:4" ht="14" x14ac:dyDescent="0.3">
      <c r="A14" t="s">
        <v>408</v>
      </c>
      <c r="B14" s="1">
        <v>0</v>
      </c>
      <c r="D14" s="1" t="s">
        <v>404</v>
      </c>
    </row>
    <row r="15" spans="1:4" ht="14" x14ac:dyDescent="0.3">
      <c r="A15" t="s">
        <v>409</v>
      </c>
      <c r="B15" s="1">
        <v>1</v>
      </c>
      <c r="D15" s="1" t="s">
        <v>405</v>
      </c>
    </row>
    <row r="16" spans="1:4" ht="14" x14ac:dyDescent="0.3">
      <c r="A16"/>
    </row>
    <row r="17" spans="1:4" ht="13" x14ac:dyDescent="0.3">
      <c r="A17" s="83" t="s">
        <v>410</v>
      </c>
      <c r="C17" s="181" t="e">
        <f>VLOOKUP(Utlakning!C9,Läckagetabell!A18:B20,2,FALSE)</f>
        <v>#N/A</v>
      </c>
    </row>
    <row r="18" spans="1:4" ht="14" x14ac:dyDescent="0.3">
      <c r="A18" t="s">
        <v>411</v>
      </c>
      <c r="B18" s="1">
        <v>-1</v>
      </c>
      <c r="D18" s="1" t="s">
        <v>350</v>
      </c>
    </row>
    <row r="19" spans="1:4" ht="14" x14ac:dyDescent="0.3">
      <c r="A19" t="s">
        <v>412</v>
      </c>
      <c r="B19" s="1">
        <v>0</v>
      </c>
      <c r="D19" s="1" t="s">
        <v>404</v>
      </c>
    </row>
    <row r="20" spans="1:4" ht="14" x14ac:dyDescent="0.3">
      <c r="A20" t="s">
        <v>413</v>
      </c>
      <c r="B20" s="1">
        <v>1</v>
      </c>
      <c r="D20" s="1" t="s">
        <v>405</v>
      </c>
    </row>
    <row r="21" spans="1:4" ht="14" x14ac:dyDescent="0.3">
      <c r="A21"/>
    </row>
    <row r="22" spans="1:4" ht="13" x14ac:dyDescent="0.3">
      <c r="A22" s="83" t="s">
        <v>414</v>
      </c>
      <c r="C22" s="181" t="e">
        <f>VLOOKUP(Utlakning!C10,Läckagetabell!A23:B25,2,FALSE)</f>
        <v>#N/A</v>
      </c>
    </row>
    <row r="23" spans="1:4" ht="14" x14ac:dyDescent="0.3">
      <c r="A23" t="s">
        <v>415</v>
      </c>
      <c r="B23" s="1">
        <v>-1</v>
      </c>
      <c r="D23" s="1" t="s">
        <v>350</v>
      </c>
    </row>
    <row r="24" spans="1:4" ht="14" x14ac:dyDescent="0.3">
      <c r="A24" t="s">
        <v>416</v>
      </c>
      <c r="B24" s="1">
        <v>0</v>
      </c>
      <c r="D24" s="1" t="s">
        <v>404</v>
      </c>
    </row>
    <row r="25" spans="1:4" ht="14" x14ac:dyDescent="0.3">
      <c r="A25" t="s">
        <v>417</v>
      </c>
      <c r="B25" s="1">
        <v>1</v>
      </c>
      <c r="D25" s="1" t="s">
        <v>405</v>
      </c>
    </row>
    <row r="27" spans="1:4" ht="13" x14ac:dyDescent="0.3">
      <c r="A27" s="83" t="s">
        <v>418</v>
      </c>
      <c r="C27" s="181" t="e">
        <f>VLOOKUP(Utlakning!C11,Läckagetabell!A28:B30,2,FALSE)</f>
        <v>#N/A</v>
      </c>
    </row>
    <row r="28" spans="1:4" ht="14" x14ac:dyDescent="0.3">
      <c r="A28" t="s">
        <v>419</v>
      </c>
      <c r="B28" s="1">
        <v>-1</v>
      </c>
      <c r="D28" s="1" t="s">
        <v>350</v>
      </c>
    </row>
    <row r="29" spans="1:4" ht="14" x14ac:dyDescent="0.3">
      <c r="A29" t="s">
        <v>481</v>
      </c>
      <c r="B29" s="1">
        <v>0</v>
      </c>
      <c r="D29" s="1" t="s">
        <v>404</v>
      </c>
    </row>
    <row r="30" spans="1:4" ht="14" x14ac:dyDescent="0.3">
      <c r="A30" t="s">
        <v>420</v>
      </c>
      <c r="B30" s="1">
        <v>1</v>
      </c>
      <c r="D30" s="1" t="s">
        <v>405</v>
      </c>
    </row>
    <row r="32" spans="1:4" x14ac:dyDescent="0.25">
      <c r="C32" s="181" t="e">
        <f>C27+C22+C17+C12+C7+C2</f>
        <v>#N/A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6"/>
  <sheetViews>
    <sheetView workbookViewId="0">
      <selection activeCell="B16" sqref="B16"/>
    </sheetView>
  </sheetViews>
  <sheetFormatPr defaultRowHeight="14" x14ac:dyDescent="0.3"/>
  <cols>
    <col min="1" max="1" width="59" customWidth="1"/>
    <col min="2" max="2" width="19.33203125" style="3" customWidth="1"/>
    <col min="4" max="4" width="2.25" style="53" customWidth="1"/>
    <col min="5" max="5" width="1.75" customWidth="1"/>
  </cols>
  <sheetData>
    <row r="1" spans="1:26" ht="17.5" x14ac:dyDescent="0.35">
      <c r="A1" s="59" t="s">
        <v>109</v>
      </c>
      <c r="B1" s="58"/>
      <c r="C1" s="35"/>
      <c r="D1" s="56"/>
      <c r="E1" s="56"/>
      <c r="F1" s="56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3">
      <c r="A2" s="36"/>
      <c r="B2" s="56"/>
      <c r="C2" s="36"/>
      <c r="D2" s="56"/>
      <c r="E2" s="56"/>
      <c r="F2" s="56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1:26" x14ac:dyDescent="0.3">
      <c r="A3" s="56"/>
      <c r="B3" s="56"/>
      <c r="C3" s="56"/>
      <c r="D3" s="56"/>
      <c r="E3" s="56"/>
      <c r="F3" s="56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x14ac:dyDescent="0.3">
      <c r="A4" s="56" t="s">
        <v>529</v>
      </c>
      <c r="B4" s="145"/>
      <c r="C4" s="56"/>
      <c r="D4" s="56"/>
      <c r="E4" s="56"/>
      <c r="F4" s="56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x14ac:dyDescent="0.3">
      <c r="A5" s="56" t="s">
        <v>530</v>
      </c>
      <c r="B5" s="146"/>
      <c r="C5" s="80" t="str">
        <f>IF(Inriktning="Annan","",IFERROR(IF(B4="","",IF(B5&lt;VLOOKUP(Inriktning,Tabellen,9,FALSE),"Grön",IF(B5&gt;VLOOKUP(Inriktning,Tabellen,10,FALSE),"Röd","Gul"))),""))</f>
        <v/>
      </c>
      <c r="D5" s="56"/>
      <c r="E5" s="56"/>
      <c r="F5" s="56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11.5" customHeight="1" x14ac:dyDescent="0.3">
      <c r="A6" s="56"/>
      <c r="B6" s="67"/>
      <c r="C6" s="56"/>
      <c r="D6" s="56"/>
      <c r="E6" s="56"/>
      <c r="F6" s="56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x14ac:dyDescent="0.3">
      <c r="A7" s="56" t="s">
        <v>534</v>
      </c>
      <c r="B7" s="146"/>
      <c r="C7" s="56"/>
      <c r="D7" s="56"/>
      <c r="E7" s="56"/>
      <c r="F7" s="56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</row>
    <row r="8" spans="1:26" x14ac:dyDescent="0.3">
      <c r="A8" s="56" t="s">
        <v>105</v>
      </c>
      <c r="B8" s="146"/>
      <c r="C8" s="56"/>
      <c r="D8" s="56"/>
      <c r="E8" s="56"/>
      <c r="F8" s="56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x14ac:dyDescent="0.3">
      <c r="A9" s="56" t="s">
        <v>531</v>
      </c>
      <c r="B9" s="146"/>
      <c r="C9" s="80" t="str">
        <f>IF(B7="","",IF(ABS(B9-Tabeller!C63)&gt;2*Tabeller!B64,"Röd",IF(ABS(B9-Tabeller!C63)&gt;1*Tabeller!B64,"Gul","Grön")))</f>
        <v/>
      </c>
      <c r="D9" s="56"/>
      <c r="E9" s="56"/>
      <c r="F9" s="56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s="48" customFormat="1" ht="10.9" customHeight="1" x14ac:dyDescent="0.3">
      <c r="A10" s="56"/>
      <c r="B10" s="67"/>
      <c r="C10" s="67"/>
      <c r="D10" s="56"/>
      <c r="E10" s="56"/>
      <c r="F10" s="56"/>
    </row>
    <row r="11" spans="1:26" x14ac:dyDescent="0.3">
      <c r="A11" s="56" t="s">
        <v>532</v>
      </c>
      <c r="B11" s="146"/>
      <c r="C11" s="80" t="str">
        <f>IF(AND(B11="",B12=""),"",IF(Resultattabell!C7&lt;Tabeller!B345,"Grön",IF(Resultattabell!C7&gt;Tabeller!B346,"Röd","Gul")))</f>
        <v/>
      </c>
      <c r="D11" s="56"/>
      <c r="E11" s="56"/>
      <c r="F11" s="56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x14ac:dyDescent="0.3">
      <c r="A12" s="56" t="s">
        <v>533</v>
      </c>
      <c r="B12" s="188" t="str">
        <f>Utlakning!D15</f>
        <v/>
      </c>
      <c r="C12" s="14" t="s">
        <v>223</v>
      </c>
      <c r="D12" s="56"/>
      <c r="E12" s="56"/>
      <c r="F12" s="56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x14ac:dyDescent="0.3">
      <c r="A13" s="56"/>
      <c r="B13" s="56"/>
      <c r="C13" s="56"/>
      <c r="D13" s="56"/>
      <c r="E13" s="56"/>
      <c r="F13" s="56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x14ac:dyDescent="0.3">
      <c r="A14" s="56" t="s">
        <v>249</v>
      </c>
      <c r="B14" s="146"/>
      <c r="C14" s="80" t="str">
        <f>IF(Inriktning="Annan","",IF(B14="","",IF(B14&gt;VLOOKUP(Inriktning,Tabellen,12,FALSE),"Grön",IF(B14&lt;VLOOKUP(Inriktning,Tabellen,11,FALSE),"Röd","Gul"))))</f>
        <v/>
      </c>
      <c r="D14" s="56"/>
      <c r="E14" s="56"/>
      <c r="F14" s="56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x14ac:dyDescent="0.3">
      <c r="A15" s="56"/>
      <c r="B15" s="56"/>
      <c r="C15" s="56"/>
      <c r="D15" s="56"/>
      <c r="E15" s="56"/>
      <c r="F15" s="56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s="48" customFormat="1" ht="13.9" customHeight="1" x14ac:dyDescent="0.3">
      <c r="A16" s="56" t="s">
        <v>218</v>
      </c>
      <c r="B16" s="163" t="s">
        <v>223</v>
      </c>
      <c r="C16" s="56"/>
      <c r="D16" s="56"/>
      <c r="E16" s="56"/>
      <c r="F16" s="56"/>
    </row>
    <row r="17" spans="1:27" s="48" customFormat="1" ht="13.9" customHeight="1" x14ac:dyDescent="0.3">
      <c r="A17" s="56" t="s">
        <v>195</v>
      </c>
      <c r="B17" s="168" t="str">
        <f>Ammoniak!D29</f>
        <v/>
      </c>
      <c r="C17" s="80" t="str">
        <f>Ammoniaktabell!D76</f>
        <v/>
      </c>
      <c r="D17" s="56"/>
      <c r="E17" s="56"/>
      <c r="F17" s="56"/>
    </row>
    <row r="18" spans="1:27" x14ac:dyDescent="0.3">
      <c r="A18" s="56"/>
      <c r="B18" s="56"/>
      <c r="C18" s="56"/>
      <c r="D18" s="56"/>
      <c r="E18" s="56"/>
      <c r="F18" s="56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7" x14ac:dyDescent="0.3">
      <c r="A19" s="56" t="s">
        <v>543</v>
      </c>
      <c r="B19" s="146"/>
      <c r="C19" s="56"/>
      <c r="D19" s="56"/>
      <c r="E19" s="56"/>
      <c r="F19" s="56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7" x14ac:dyDescent="0.3">
      <c r="A20" s="56" t="s">
        <v>44</v>
      </c>
      <c r="B20" s="146"/>
      <c r="C20" s="80" t="str">
        <f>IF(B19=0,"",IF(B20/B19&gt;0.5,"Grön",IF(B20/B19&lt;0.25,"Röd","Gul")))</f>
        <v/>
      </c>
      <c r="D20" s="56"/>
      <c r="E20" s="56"/>
      <c r="F20" s="56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7" x14ac:dyDescent="0.3">
      <c r="A21" s="56"/>
      <c r="B21" s="56"/>
      <c r="C21" s="56"/>
      <c r="D21" s="56"/>
      <c r="E21" s="56"/>
      <c r="F21" s="56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7" s="48" customFormat="1" ht="12" customHeight="1" x14ac:dyDescent="0.3">
      <c r="A22" s="56" t="s">
        <v>110</v>
      </c>
      <c r="B22" s="146"/>
      <c r="C22" s="80" t="str">
        <f>IF(B22="","",IF(B22="Inte aktuellt","",IF(B22="Ja","Grön","Röd")))</f>
        <v/>
      </c>
      <c r="D22" s="56"/>
      <c r="E22" s="56"/>
      <c r="F22" s="56"/>
    </row>
    <row r="23" spans="1:27" ht="13.9" customHeight="1" x14ac:dyDescent="0.3">
      <c r="A23" s="56"/>
      <c r="B23" s="56"/>
      <c r="C23" s="56"/>
      <c r="D23" s="56"/>
      <c r="E23" s="56"/>
      <c r="F23" s="56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7" s="48" customFormat="1" ht="28.15" customHeight="1" x14ac:dyDescent="0.3">
      <c r="A24" s="147" t="s">
        <v>107</v>
      </c>
      <c r="B24" s="146"/>
      <c r="C24" s="80" t="str">
        <f>IF(B24="","",IF(B24="Inte aktuellt","",IF(B24="Ja","Grön",IF(B24="Delvis","Gul","Röd"))))</f>
        <v/>
      </c>
      <c r="D24" s="56"/>
      <c r="E24" s="56"/>
      <c r="F24" s="56"/>
    </row>
    <row r="25" spans="1:27" x14ac:dyDescent="0.3">
      <c r="A25" s="56"/>
      <c r="B25" s="56"/>
      <c r="C25" s="56"/>
      <c r="D25" s="56"/>
      <c r="E25" s="56"/>
      <c r="F25" s="56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7" s="48" customFormat="1" ht="13.9" customHeight="1" x14ac:dyDescent="0.3">
      <c r="A26" s="56" t="s">
        <v>535</v>
      </c>
      <c r="B26" s="146"/>
      <c r="C26" s="80" t="str">
        <f>IF(B26="","",IF(B26="Inte aktuellt","",IF(B26="Ja","Grön",IF(B26="Delvis","Gul","Röd"))))</f>
        <v/>
      </c>
      <c r="D26" s="56"/>
      <c r="E26" s="56"/>
      <c r="F26" s="56"/>
    </row>
    <row r="27" spans="1:27" ht="13.9" customHeight="1" x14ac:dyDescent="0.3">
      <c r="A27" s="56"/>
      <c r="B27" s="56"/>
      <c r="C27" s="56"/>
      <c r="D27" s="56"/>
      <c r="E27" s="56"/>
      <c r="F27" s="56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7" s="48" customFormat="1" ht="13.9" customHeight="1" x14ac:dyDescent="0.3">
      <c r="A28" s="56" t="s">
        <v>37</v>
      </c>
      <c r="B28" s="146"/>
      <c r="C28" s="80" t="str">
        <f>IF(B28="","",IF(B28="Inte aktuellt","",IF(B28="Ja","Grön","Röd")))</f>
        <v/>
      </c>
      <c r="D28" s="56"/>
      <c r="E28" s="56"/>
      <c r="F28" s="56"/>
    </row>
    <row r="29" spans="1:27" x14ac:dyDescent="0.3">
      <c r="A29" s="56"/>
      <c r="B29" s="56"/>
      <c r="C29" s="56"/>
      <c r="D29" s="56"/>
      <c r="E29" s="56"/>
      <c r="F29" s="56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7" s="48" customFormat="1" ht="12" customHeight="1" x14ac:dyDescent="0.3">
      <c r="A30" s="56"/>
      <c r="B30" s="56"/>
      <c r="C30" s="189" t="s">
        <v>429</v>
      </c>
      <c r="D30" s="56"/>
      <c r="E30" s="56"/>
      <c r="F30" s="56"/>
    </row>
    <row r="31" spans="1:27" s="47" customFormat="1" x14ac:dyDescent="0.3">
      <c r="A31" s="56"/>
      <c r="B31" s="56"/>
      <c r="C31" s="166" t="s">
        <v>243</v>
      </c>
      <c r="D31" s="56"/>
      <c r="E31" s="56"/>
      <c r="F31" s="56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</row>
    <row r="32" spans="1:27" x14ac:dyDescent="0.3">
      <c r="A32" s="56"/>
      <c r="B32" s="56"/>
      <c r="C32" s="56"/>
      <c r="D32" s="56"/>
      <c r="E32" s="56"/>
      <c r="F32" s="56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</row>
    <row r="33" spans="1:27" x14ac:dyDescent="0.3">
      <c r="A33" s="56"/>
      <c r="B33" s="56"/>
      <c r="C33" s="56"/>
      <c r="D33" s="56"/>
      <c r="E33" s="56"/>
      <c r="F33" s="56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x14ac:dyDescent="0.3">
      <c r="A34" s="56"/>
      <c r="B34" s="56"/>
      <c r="C34" s="56"/>
      <c r="D34" s="56"/>
      <c r="E34" s="56"/>
      <c r="F34" s="56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x14ac:dyDescent="0.3">
      <c r="A35" s="56"/>
      <c r="B35" s="56"/>
      <c r="C35" s="56"/>
      <c r="D35" s="56"/>
      <c r="E35" s="56"/>
      <c r="F35" s="56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</row>
    <row r="36" spans="1:27" x14ac:dyDescent="0.3">
      <c r="A36" s="48"/>
      <c r="B36" s="78"/>
      <c r="C36" s="48"/>
      <c r="D36" s="49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</row>
    <row r="37" spans="1:27" x14ac:dyDescent="0.3">
      <c r="A37" s="48"/>
      <c r="B37" s="78"/>
      <c r="C37" s="48"/>
      <c r="D37" s="49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</row>
    <row r="38" spans="1:27" x14ac:dyDescent="0.3">
      <c r="A38" s="48"/>
      <c r="B38" s="78"/>
      <c r="C38" s="48"/>
      <c r="D38" s="49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</row>
    <row r="39" spans="1:27" x14ac:dyDescent="0.3">
      <c r="A39" s="48"/>
      <c r="B39" s="78"/>
      <c r="C39" s="48"/>
      <c r="D39" s="49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</row>
    <row r="40" spans="1:27" x14ac:dyDescent="0.3">
      <c r="A40" s="48"/>
      <c r="B40" s="78"/>
      <c r="C40" s="48"/>
      <c r="D40" s="49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</row>
    <row r="41" spans="1:27" x14ac:dyDescent="0.3">
      <c r="A41" s="48"/>
      <c r="B41" s="78"/>
      <c r="C41" s="48"/>
      <c r="D41" s="49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</row>
    <row r="42" spans="1:27" x14ac:dyDescent="0.3">
      <c r="A42" s="48"/>
      <c r="B42" s="78"/>
      <c r="C42" s="48"/>
      <c r="D42" s="49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</row>
    <row r="43" spans="1:27" x14ac:dyDescent="0.3">
      <c r="A43" s="48"/>
      <c r="B43" s="78"/>
      <c r="C43" s="48"/>
      <c r="D43" s="49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</row>
    <row r="44" spans="1:27" x14ac:dyDescent="0.3">
      <c r="A44" s="48"/>
      <c r="B44" s="78"/>
      <c r="C44" s="48"/>
      <c r="D44" s="49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</row>
    <row r="45" spans="1:27" x14ac:dyDescent="0.3">
      <c r="A45" s="48"/>
      <c r="B45" s="78"/>
      <c r="C45" s="48"/>
      <c r="D45" s="49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</row>
    <row r="46" spans="1:27" x14ac:dyDescent="0.3">
      <c r="A46" s="48"/>
      <c r="B46" s="78"/>
      <c r="C46" s="48"/>
      <c r="D46" s="49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</row>
  </sheetData>
  <conditionalFormatting sqref="C22 C28">
    <cfRule type="containsText" dxfId="254" priority="98" operator="containsText" text="Grön">
      <formula>NOT(ISERROR(SEARCH("Grön",C22)))</formula>
    </cfRule>
    <cfRule type="containsText" dxfId="253" priority="99" operator="containsText" text="Röd">
      <formula>NOT(ISERROR(SEARCH("Röd",C22)))</formula>
    </cfRule>
    <cfRule type="cellIs" dxfId="252" priority="103" operator="equal">
      <formula>"""Gul"""</formula>
    </cfRule>
  </conditionalFormatting>
  <conditionalFormatting sqref="C22 C28">
    <cfRule type="containsText" dxfId="251" priority="100" operator="containsText" text="Grön">
      <formula>NOT(ISERROR(SEARCH("Grön",C22)))</formula>
    </cfRule>
    <cfRule type="containsText" dxfId="250" priority="101" operator="containsText" text="Röd">
      <formula>NOT(ISERROR(SEARCH("Röd",C22)))</formula>
    </cfRule>
    <cfRule type="containsText" dxfId="249" priority="102" operator="containsText" text="Gul">
      <formula>NOT(ISERROR(SEARCH("Gul",C22)))</formula>
    </cfRule>
  </conditionalFormatting>
  <conditionalFormatting sqref="C20">
    <cfRule type="containsText" dxfId="248" priority="86" operator="containsText" text="Grön">
      <formula>NOT(ISERROR(SEARCH("Grön",C20)))</formula>
    </cfRule>
    <cfRule type="containsText" dxfId="247" priority="87" operator="containsText" text="Röd">
      <formula>NOT(ISERROR(SEARCH("Röd",C20)))</formula>
    </cfRule>
    <cfRule type="cellIs" dxfId="246" priority="91" operator="equal">
      <formula>"""Gul"""</formula>
    </cfRule>
  </conditionalFormatting>
  <conditionalFormatting sqref="C20">
    <cfRule type="containsText" dxfId="245" priority="88" operator="containsText" text="Grön">
      <formula>NOT(ISERROR(SEARCH("Grön",C20)))</formula>
    </cfRule>
    <cfRule type="containsText" dxfId="244" priority="89" operator="containsText" text="Röd">
      <formula>NOT(ISERROR(SEARCH("Röd",C20)))</formula>
    </cfRule>
    <cfRule type="containsText" dxfId="243" priority="90" operator="containsText" text="Gul">
      <formula>NOT(ISERROR(SEARCH("Gul",C20)))</formula>
    </cfRule>
  </conditionalFormatting>
  <conditionalFormatting sqref="C9">
    <cfRule type="containsText" dxfId="242" priority="80" operator="containsText" text="Grön">
      <formula>NOT(ISERROR(SEARCH("Grön",C9)))</formula>
    </cfRule>
    <cfRule type="containsText" dxfId="241" priority="81" operator="containsText" text="Röd">
      <formula>NOT(ISERROR(SEARCH("Röd",C9)))</formula>
    </cfRule>
    <cfRule type="cellIs" dxfId="240" priority="85" operator="equal">
      <formula>"""Gul"""</formula>
    </cfRule>
  </conditionalFormatting>
  <conditionalFormatting sqref="C9">
    <cfRule type="containsText" dxfId="239" priority="82" operator="containsText" text="Grön">
      <formula>NOT(ISERROR(SEARCH("Grön",C9)))</formula>
    </cfRule>
    <cfRule type="containsText" dxfId="238" priority="83" operator="containsText" text="Röd">
      <formula>NOT(ISERROR(SEARCH("Röd",C9)))</formula>
    </cfRule>
    <cfRule type="containsText" dxfId="237" priority="84" operator="containsText" text="Gul">
      <formula>NOT(ISERROR(SEARCH("Gul",C9)))</formula>
    </cfRule>
  </conditionalFormatting>
  <conditionalFormatting sqref="C5">
    <cfRule type="containsText" dxfId="236" priority="74" operator="containsText" text="Grön">
      <formula>NOT(ISERROR(SEARCH("Grön",C5)))</formula>
    </cfRule>
    <cfRule type="containsText" dxfId="235" priority="75" operator="containsText" text="Röd">
      <formula>NOT(ISERROR(SEARCH("Röd",C5)))</formula>
    </cfRule>
    <cfRule type="cellIs" dxfId="234" priority="79" operator="equal">
      <formula>"""Gul"""</formula>
    </cfRule>
  </conditionalFormatting>
  <conditionalFormatting sqref="C5">
    <cfRule type="containsText" dxfId="233" priority="76" operator="containsText" text="Grön">
      <formula>NOT(ISERROR(SEARCH("Grön",C5)))</formula>
    </cfRule>
    <cfRule type="containsText" dxfId="232" priority="77" operator="containsText" text="Röd">
      <formula>NOT(ISERROR(SEARCH("Röd",C5)))</formula>
    </cfRule>
    <cfRule type="containsText" dxfId="231" priority="78" operator="containsText" text="Gul">
      <formula>NOT(ISERROR(SEARCH("Gul",C5)))</formula>
    </cfRule>
  </conditionalFormatting>
  <conditionalFormatting sqref="C26">
    <cfRule type="containsText" dxfId="230" priority="56" operator="containsText" text="Grön">
      <formula>NOT(ISERROR(SEARCH("Grön",C26)))</formula>
    </cfRule>
    <cfRule type="containsText" dxfId="229" priority="57" operator="containsText" text="Röd">
      <formula>NOT(ISERROR(SEARCH("Röd",C26)))</formula>
    </cfRule>
    <cfRule type="cellIs" dxfId="228" priority="61" operator="equal">
      <formula>"""Gul"""</formula>
    </cfRule>
  </conditionalFormatting>
  <conditionalFormatting sqref="C26">
    <cfRule type="containsText" dxfId="227" priority="58" operator="containsText" text="Grön">
      <formula>NOT(ISERROR(SEARCH("Grön",C26)))</formula>
    </cfRule>
    <cfRule type="containsText" dxfId="226" priority="59" operator="containsText" text="Röd">
      <formula>NOT(ISERROR(SEARCH("Röd",C26)))</formula>
    </cfRule>
    <cfRule type="containsText" dxfId="225" priority="60" operator="containsText" text="Gul">
      <formula>NOT(ISERROR(SEARCH("Gul",C26)))</formula>
    </cfRule>
  </conditionalFormatting>
  <conditionalFormatting sqref="C14">
    <cfRule type="containsText" dxfId="224" priority="38" operator="containsText" text="Grön">
      <formula>NOT(ISERROR(SEARCH("Grön",C14)))</formula>
    </cfRule>
    <cfRule type="containsText" dxfId="223" priority="39" operator="containsText" text="Röd">
      <formula>NOT(ISERROR(SEARCH("Röd",C14)))</formula>
    </cfRule>
    <cfRule type="cellIs" dxfId="222" priority="43" operator="equal">
      <formula>"""Gul"""</formula>
    </cfRule>
  </conditionalFormatting>
  <conditionalFormatting sqref="C14">
    <cfRule type="containsText" dxfId="221" priority="40" operator="containsText" text="Grön">
      <formula>NOT(ISERROR(SEARCH("Grön",C14)))</formula>
    </cfRule>
    <cfRule type="containsText" dxfId="220" priority="41" operator="containsText" text="Röd">
      <formula>NOT(ISERROR(SEARCH("Röd",C14)))</formula>
    </cfRule>
    <cfRule type="containsText" dxfId="219" priority="42" operator="containsText" text="Gul">
      <formula>NOT(ISERROR(SEARCH("Gul",C14)))</formula>
    </cfRule>
  </conditionalFormatting>
  <conditionalFormatting sqref="C17">
    <cfRule type="containsText" dxfId="218" priority="32" operator="containsText" text="Grön">
      <formula>NOT(ISERROR(SEARCH("Grön",C17)))</formula>
    </cfRule>
    <cfRule type="containsText" dxfId="217" priority="33" operator="containsText" text="Röd">
      <formula>NOT(ISERROR(SEARCH("Röd",C17)))</formula>
    </cfRule>
    <cfRule type="cellIs" dxfId="216" priority="37" operator="equal">
      <formula>"""Gul"""</formula>
    </cfRule>
  </conditionalFormatting>
  <conditionalFormatting sqref="C17">
    <cfRule type="containsText" dxfId="215" priority="34" operator="containsText" text="Grön">
      <formula>NOT(ISERROR(SEARCH("Grön",C17)))</formula>
    </cfRule>
    <cfRule type="containsText" dxfId="214" priority="35" operator="containsText" text="Röd">
      <formula>NOT(ISERROR(SEARCH("Röd",C17)))</formula>
    </cfRule>
    <cfRule type="containsText" dxfId="213" priority="36" operator="containsText" text="Gul">
      <formula>NOT(ISERROR(SEARCH("Gul",C17)))</formula>
    </cfRule>
  </conditionalFormatting>
  <conditionalFormatting sqref="C24">
    <cfRule type="containsText" dxfId="212" priority="26" operator="containsText" text="Grön">
      <formula>NOT(ISERROR(SEARCH("Grön",C24)))</formula>
    </cfRule>
    <cfRule type="containsText" dxfId="211" priority="27" operator="containsText" text="Röd">
      <formula>NOT(ISERROR(SEARCH("Röd",C24)))</formula>
    </cfRule>
    <cfRule type="cellIs" dxfId="210" priority="31" operator="equal">
      <formula>"""Gul"""</formula>
    </cfRule>
  </conditionalFormatting>
  <conditionalFormatting sqref="C24">
    <cfRule type="containsText" dxfId="209" priority="28" operator="containsText" text="Grön">
      <formula>NOT(ISERROR(SEARCH("Grön",C24)))</formula>
    </cfRule>
    <cfRule type="containsText" dxfId="208" priority="29" operator="containsText" text="Röd">
      <formula>NOT(ISERROR(SEARCH("Röd",C24)))</formula>
    </cfRule>
    <cfRule type="containsText" dxfId="207" priority="30" operator="containsText" text="Gul">
      <formula>NOT(ISERROR(SEARCH("Gul",C24)))</formula>
    </cfRule>
  </conditionalFormatting>
  <conditionalFormatting sqref="B17">
    <cfRule type="containsText" dxfId="206" priority="20" operator="containsText" text="Grön">
      <formula>NOT(ISERROR(SEARCH("Grön",B17)))</formula>
    </cfRule>
    <cfRule type="containsText" dxfId="205" priority="21" operator="containsText" text="Röd">
      <formula>NOT(ISERROR(SEARCH("Röd",B17)))</formula>
    </cfRule>
    <cfRule type="cellIs" dxfId="204" priority="25" operator="equal">
      <formula>"""Gul"""</formula>
    </cfRule>
  </conditionalFormatting>
  <conditionalFormatting sqref="B17">
    <cfRule type="containsText" dxfId="203" priority="22" operator="containsText" text="Grön">
      <formula>NOT(ISERROR(SEARCH("Grön",B17)))</formula>
    </cfRule>
    <cfRule type="containsText" dxfId="202" priority="23" operator="containsText" text="Röd">
      <formula>NOT(ISERROR(SEARCH("Röd",B17)))</formula>
    </cfRule>
    <cfRule type="containsText" dxfId="201" priority="24" operator="containsText" text="Gul">
      <formula>NOT(ISERROR(SEARCH("Gul",B17)))</formula>
    </cfRule>
  </conditionalFormatting>
  <conditionalFormatting sqref="C11">
    <cfRule type="containsText" dxfId="200" priority="1" operator="containsText" text="Grön">
      <formula>NOT(ISERROR(SEARCH("Grön",C11)))</formula>
    </cfRule>
    <cfRule type="containsText" dxfId="199" priority="2" operator="containsText" text="Röd">
      <formula>NOT(ISERROR(SEARCH("Röd",C11)))</formula>
    </cfRule>
    <cfRule type="cellIs" dxfId="198" priority="6" operator="equal">
      <formula>"""Gul"""</formula>
    </cfRule>
  </conditionalFormatting>
  <conditionalFormatting sqref="C11">
    <cfRule type="containsText" dxfId="197" priority="3" operator="containsText" text="Grön">
      <formula>NOT(ISERROR(SEARCH("Grön",C11)))</formula>
    </cfRule>
    <cfRule type="containsText" dxfId="196" priority="4" operator="containsText" text="Röd">
      <formula>NOT(ISERROR(SEARCH("Röd",C11)))</formula>
    </cfRule>
    <cfRule type="containsText" dxfId="195" priority="5" operator="containsText" text="Gul">
      <formula>NOT(ISERROR(SEARCH("Gul",C11)))</formula>
    </cfRule>
  </conditionalFormatting>
  <hyperlinks>
    <hyperlink ref="B16" location="Ammoniak!A1" display="Klicka här" xr:uid="{F25218FB-1301-4716-B8A5-E9554898F723}"/>
    <hyperlink ref="C31" location="Introduktion!A1" display="Till Introduktion" xr:uid="{1C81A9DB-DFBD-4700-8E71-5FC7B416D9E4}"/>
    <hyperlink ref="C12" location="Utlakning!C6" display="Klicka här!" xr:uid="{F1E1951C-ED0D-4104-B45C-D1467C6C39F0}"/>
    <hyperlink ref="C30" location="Markhälsa!A1" display="Till Markhälsa" xr:uid="{2FE02F6C-6384-4D16-9471-3F7979E35125}"/>
  </hyperlink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4EBAE401-74DD-42A0-AEEB-0D7F7FA59261}">
            <xm:f>Tabeller!$B$24="Ja"</xm:f>
            <x14:dxf>
              <font>
                <color theme="0" tint="-0.24994659260841701"/>
              </font>
            </x14:dxf>
          </x14:cfRule>
          <xm:sqref>A14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EB962A-EE36-48BC-AD87-F208EC09C5F6}">
          <x14:formula1>
            <xm:f>Tabeller!$A$37:$A$39</xm:f>
          </x14:formula1>
          <xm:sqref>B22 B28</xm:sqref>
        </x14:dataValidation>
        <x14:dataValidation type="list" allowBlank="1" showInputMessage="1" showErrorMessage="1" xr:uid="{C876AADF-3FB3-4572-8FC7-BBA6F15F0CE0}">
          <x14:formula1>
            <xm:f>Tabeller!$A$41:$A$44</xm:f>
          </x14:formula1>
          <xm:sqref>B26 B24</xm:sqref>
        </x14:dataValidation>
        <x14:dataValidation type="list" allowBlank="1" showInputMessage="1" showErrorMessage="1" xr:uid="{944DF9E2-FEBA-4A0E-AD95-74FAC83BF583}">
          <x14:formula1>
            <xm:f>Tabeller!$C$58:$C$61</xm:f>
          </x14:formula1>
          <xm:sqref>B7</xm:sqref>
        </x14:dataValidation>
        <x14:dataValidation type="list" allowBlank="1" showInputMessage="1" showErrorMessage="1" xr:uid="{E00AB3E1-2613-4C19-A2CC-3042DF2FE61E}">
          <x14:formula1>
            <xm:f>Tabeller!$A$57:$A$62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AB2DD-CC9E-417D-9DC5-F050E3BC2704}">
  <dimension ref="A1:O35"/>
  <sheetViews>
    <sheetView workbookViewId="0"/>
  </sheetViews>
  <sheetFormatPr defaultRowHeight="14" x14ac:dyDescent="0.3"/>
  <cols>
    <col min="2" max="2" width="39.58203125" customWidth="1"/>
    <col min="3" max="3" width="68" customWidth="1"/>
    <col min="4" max="4" width="8.75" style="3" customWidth="1"/>
  </cols>
  <sheetData>
    <row r="1" spans="1:15" ht="20" x14ac:dyDescent="0.4">
      <c r="A1" s="118"/>
      <c r="B1" s="119" t="s">
        <v>176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16.899999999999999" customHeight="1" x14ac:dyDescent="0.35">
      <c r="A3" s="118"/>
      <c r="B3" s="118"/>
      <c r="C3" s="120" t="str">
        <f>IF(D2="Nej","Gå direkt till frågorna om spridning!","")</f>
        <v/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ht="17.5" x14ac:dyDescent="0.35">
      <c r="A4" s="118"/>
      <c r="B4" s="121" t="s">
        <v>177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15.5" x14ac:dyDescent="0.35">
      <c r="A5" s="118"/>
      <c r="B5" s="213" t="s">
        <v>178</v>
      </c>
      <c r="C5" s="213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15.5" x14ac:dyDescent="0.35">
      <c r="A6" s="118"/>
      <c r="B6" s="118" t="s">
        <v>179</v>
      </c>
      <c r="C6" s="122"/>
      <c r="D6" s="123" t="str">
        <f>IF(C6="","",IF(VLOOKUP(C6,Ammoniaktabell!B7:C9,2,FALSE)&lt;0,"Grön",IF(VLOOKUP(C6,Ammoniaktabell!B7:C9,2,FALSE)&gt;0,"Röd","Gul")))</f>
        <v/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15.5" x14ac:dyDescent="0.35">
      <c r="A7" s="118"/>
      <c r="B7" s="118" t="s">
        <v>180</v>
      </c>
      <c r="C7" s="122"/>
      <c r="D7" s="123" t="str">
        <f>IF(C7="","",IF(VLOOKUP(C7,Ammoniaktabell!B12:C14,2,FALSE)&lt;0,"Grön",IF(VLOOKUP(C7,Ammoniaktabell!B12:C14,2,FALSE)&gt;0,"Röd","Gul")))</f>
        <v/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15.5" x14ac:dyDescent="0.35">
      <c r="A8" s="118"/>
      <c r="B8" s="118" t="s">
        <v>181</v>
      </c>
      <c r="C8" s="122"/>
      <c r="D8" s="123" t="str">
        <f>IF(C8="","",IF(VLOOKUP(C8,Ammoniaktabell!B17:C19,2,FALSE)&lt;0,"Grön",IF(VLOOKUP(C8,Ammoniaktabell!B17:C19,2,FALSE)&gt;0,"Röd","Gul")))</f>
        <v/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5.5" customHeight="1" x14ac:dyDescent="0.3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17.5" x14ac:dyDescent="0.35">
      <c r="A10" s="118"/>
      <c r="B10" s="121" t="s">
        <v>111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ht="15.5" x14ac:dyDescent="0.35">
      <c r="A11" s="118"/>
      <c r="B11" s="213" t="s">
        <v>182</v>
      </c>
      <c r="C11" s="213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5" ht="15.5" x14ac:dyDescent="0.35">
      <c r="A12" s="118"/>
      <c r="B12" s="118" t="s">
        <v>183</v>
      </c>
      <c r="C12" s="122"/>
      <c r="D12" s="123" t="str">
        <f>IF(C12="","",IF(VLOOKUP(C12,Ammoniaktabell!B22:C24,2,FALSE)&lt;0,"Grön",IF(VLOOKUP(C12,Ammoniaktabell!B22:C24,2,FALSE)&gt;0,"Röd","Gul")))</f>
        <v/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5" ht="15.5" x14ac:dyDescent="0.35">
      <c r="A13" s="118"/>
      <c r="B13" s="118" t="s">
        <v>184</v>
      </c>
      <c r="C13" s="122"/>
      <c r="D13" s="123" t="str">
        <f>IF(C13="","",IF(VLOOKUP(C13,Ammoniaktabell!B27:C29,2,FALSE)&lt;0,"Grön",IF(VLOOKUP(C13,Ammoniaktabell!B27:C29,2,FALSE)&gt;0,"Röd","Gul")))</f>
        <v/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5" ht="15.5" x14ac:dyDescent="0.35">
      <c r="A14" s="118"/>
      <c r="B14" s="118" t="s">
        <v>186</v>
      </c>
      <c r="C14" s="122"/>
      <c r="D14" s="123" t="str">
        <f>IF(C14="","",IF(VLOOKUP(C14,Ammoniaktabell!B32:C34,2,FALSE)&lt;0,"Grön",IF(VLOOKUP(C14,Ammoniaktabell!B32:C34,2,FALSE)&gt;0,"Röd","Gul")))</f>
        <v/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6" customHeight="1" x14ac:dyDescent="0.3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5" ht="17.5" x14ac:dyDescent="0.35">
      <c r="A16" s="118"/>
      <c r="B16" s="121" t="s">
        <v>112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1:15" ht="15.5" x14ac:dyDescent="0.35">
      <c r="A17" s="118"/>
      <c r="B17" s="213" t="s">
        <v>187</v>
      </c>
      <c r="C17" s="213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1:15" ht="15.5" x14ac:dyDescent="0.35">
      <c r="A18" s="118"/>
      <c r="B18" s="118" t="s">
        <v>188</v>
      </c>
      <c r="C18" s="122"/>
      <c r="D18" s="123" t="str">
        <f>IF(C18="","",IF(VLOOKUP(C18,Ammoniaktabell!B37:C39,2,FALSE)&lt;0,"Grön",IF(VLOOKUP(C18,Ammoniaktabell!B37:C39,2,FALSE)&gt;0,"Röd","Gul")))</f>
        <v/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</row>
    <row r="19" spans="1:15" ht="15.5" x14ac:dyDescent="0.35">
      <c r="A19" s="118"/>
      <c r="B19" s="118" t="s">
        <v>189</v>
      </c>
      <c r="C19" s="122"/>
      <c r="D19" s="123" t="str">
        <f>IF(C19="","",IF(VLOOKUP(C19,Ammoniaktabell!B42:C44,2,FALSE)&lt;0,"Grön",IF(VLOOKUP(C19,Ammoniaktabell!B42:C44,2,FALSE)&gt;0,"Röd","Gul")))</f>
        <v/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</row>
    <row r="20" spans="1:15" ht="15.5" x14ac:dyDescent="0.35">
      <c r="A20" s="118"/>
      <c r="B20" s="118" t="s">
        <v>190</v>
      </c>
      <c r="C20" s="122"/>
      <c r="D20" s="123" t="str">
        <f>IF(C20="","",IF(VLOOKUP(C20,Ammoniaktabell!B47:C49,2,FALSE)&lt;0,"Grön",IF(VLOOKUP(C20,Ammoniaktabell!B47:C49,2,FALSE)&gt;0,"Röd","Gul")))</f>
        <v/>
      </c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</row>
    <row r="21" spans="1:15" ht="8.5" customHeight="1" x14ac:dyDescent="0.3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</row>
    <row r="22" spans="1:15" ht="17.5" x14ac:dyDescent="0.35">
      <c r="A22" s="118"/>
      <c r="B22" s="121" t="s">
        <v>113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</row>
    <row r="23" spans="1:15" ht="15.5" x14ac:dyDescent="0.35">
      <c r="A23" s="118"/>
      <c r="B23" s="213" t="s">
        <v>191</v>
      </c>
      <c r="C23" s="213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</row>
    <row r="24" spans="1:15" ht="15.5" x14ac:dyDescent="0.35">
      <c r="A24" s="118"/>
      <c r="B24" s="118" t="s">
        <v>192</v>
      </c>
      <c r="C24" s="122"/>
      <c r="D24" s="123" t="str">
        <f>IF(C24="","",IF(VLOOKUP(C24,Ammoniaktabell!B52:C54,2,FALSE)&lt;0,"Grön",IF(VLOOKUP(C24,Ammoniaktabell!B52:C54,2,FALSE)&gt;0,"Röd","Gul")))</f>
        <v/>
      </c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spans="1:15" ht="15.5" x14ac:dyDescent="0.35">
      <c r="A25" s="118"/>
      <c r="B25" s="118" t="s">
        <v>193</v>
      </c>
      <c r="C25" s="122"/>
      <c r="D25" s="123" t="str">
        <f>IF(C25="","",IF(VLOOKUP(C25,Ammoniaktabell!B57:C59,2,FALSE)&lt;0,"Grön",IF(VLOOKUP(C25,Ammoniaktabell!B57:C59,2,FALSE)&gt;0,"Röd","Gul")))</f>
        <v/>
      </c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1:15" ht="15.5" x14ac:dyDescent="0.35">
      <c r="A26" s="118"/>
      <c r="B26" s="118" t="s">
        <v>194</v>
      </c>
      <c r="C26" s="122"/>
      <c r="D26" s="123" t="str">
        <f>IF(C26="","",IF(VLOOKUP(C26,Ammoniaktabell!B62:C64,2,FALSE)&lt;0,"Grön",IF(VLOOKUP(C26,Ammoniaktabell!B62:C64,2,FALSE)&gt;0,"Röd","Gul")))</f>
        <v/>
      </c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</row>
    <row r="27" spans="1:15" ht="7.9" customHeight="1" x14ac:dyDescent="0.3">
      <c r="A27" s="118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</row>
    <row r="28" spans="1:15" ht="2.5" customHeight="1" x14ac:dyDescent="0.3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</row>
    <row r="29" spans="1:15" ht="18" x14ac:dyDescent="0.4">
      <c r="A29" s="118"/>
      <c r="B29" s="118"/>
      <c r="C29" s="124" t="s">
        <v>195</v>
      </c>
      <c r="D29" s="128" t="str">
        <f>IF(Ammoniaktabell!C92&gt;0,Ammoniaktabell!C76,"")</f>
        <v/>
      </c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</row>
    <row r="30" spans="1:15" x14ac:dyDescent="0.3">
      <c r="A30" s="118"/>
      <c r="B30" s="118"/>
      <c r="C30" s="118"/>
      <c r="D30" s="127" t="s">
        <v>242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</row>
    <row r="31" spans="1:15" x14ac:dyDescent="0.3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</row>
    <row r="32" spans="1:15" x14ac:dyDescent="0.3">
      <c r="A32" s="118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</row>
    <row r="33" spans="1:15" x14ac:dyDescent="0.3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</row>
    <row r="34" spans="1:15" x14ac:dyDescent="0.3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1:15" x14ac:dyDescent="0.3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</row>
  </sheetData>
  <mergeCells count="4">
    <mergeCell ref="B5:C5"/>
    <mergeCell ref="B11:C11"/>
    <mergeCell ref="B17:C17"/>
    <mergeCell ref="B23:C23"/>
  </mergeCells>
  <conditionalFormatting sqref="D12:D14">
    <cfRule type="containsText" dxfId="193" priority="21" operator="containsText" text="Grön">
      <formula>NOT(ISERROR(SEARCH("Grön",D12)))</formula>
    </cfRule>
    <cfRule type="containsText" dxfId="192" priority="22" operator="containsText" text="Gul">
      <formula>NOT(ISERROR(SEARCH("Gul",D12)))</formula>
    </cfRule>
    <cfRule type="containsText" dxfId="191" priority="23" operator="containsText" text="Röd">
      <formula>NOT(ISERROR(SEARCH("Röd",D12)))</formula>
    </cfRule>
  </conditionalFormatting>
  <conditionalFormatting sqref="D18">
    <cfRule type="containsText" dxfId="190" priority="18" operator="containsText" text="Grön">
      <formula>NOT(ISERROR(SEARCH("Grön",D18)))</formula>
    </cfRule>
    <cfRule type="containsText" dxfId="189" priority="19" operator="containsText" text="Gul">
      <formula>NOT(ISERROR(SEARCH("Gul",D18)))</formula>
    </cfRule>
    <cfRule type="containsText" dxfId="188" priority="20" operator="containsText" text="Röd">
      <formula>NOT(ISERROR(SEARCH("Röd",D18)))</formula>
    </cfRule>
  </conditionalFormatting>
  <conditionalFormatting sqref="D19">
    <cfRule type="containsText" dxfId="187" priority="15" operator="containsText" text="Grön">
      <formula>NOT(ISERROR(SEARCH("Grön",D19)))</formula>
    </cfRule>
    <cfRule type="containsText" dxfId="186" priority="16" operator="containsText" text="Gul">
      <formula>NOT(ISERROR(SEARCH("Gul",D19)))</formula>
    </cfRule>
    <cfRule type="containsText" dxfId="185" priority="17" operator="containsText" text="Röd">
      <formula>NOT(ISERROR(SEARCH("Röd",D19)))</formula>
    </cfRule>
  </conditionalFormatting>
  <conditionalFormatting sqref="D20">
    <cfRule type="containsText" dxfId="184" priority="12" operator="containsText" text="Grön">
      <formula>NOT(ISERROR(SEARCH("Grön",D20)))</formula>
    </cfRule>
    <cfRule type="containsText" dxfId="183" priority="13" operator="containsText" text="Gul">
      <formula>NOT(ISERROR(SEARCH("Gul",D20)))</formula>
    </cfRule>
    <cfRule type="containsText" dxfId="182" priority="14" operator="containsText" text="Röd">
      <formula>NOT(ISERROR(SEARCH("Röd",D20)))</formula>
    </cfRule>
  </conditionalFormatting>
  <conditionalFormatting sqref="D6">
    <cfRule type="containsText" dxfId="181" priority="27" operator="containsText" text="Grön">
      <formula>NOT(ISERROR(SEARCH("Grön",D6)))</formula>
    </cfRule>
    <cfRule type="containsText" dxfId="180" priority="28" operator="containsText" text="Gul">
      <formula>NOT(ISERROR(SEARCH("Gul",D6)))</formula>
    </cfRule>
    <cfRule type="containsText" dxfId="179" priority="29" operator="containsText" text="Röd">
      <formula>NOT(ISERROR(SEARCH("Röd",D6)))</formula>
    </cfRule>
  </conditionalFormatting>
  <conditionalFormatting sqref="D7:D8">
    <cfRule type="containsText" dxfId="178" priority="24" operator="containsText" text="Grön">
      <formula>NOT(ISERROR(SEARCH("Grön",D7)))</formula>
    </cfRule>
    <cfRule type="containsText" dxfId="177" priority="25" operator="containsText" text="Gul">
      <formula>NOT(ISERROR(SEARCH("Gul",D7)))</formula>
    </cfRule>
    <cfRule type="containsText" dxfId="176" priority="26" operator="containsText" text="Röd">
      <formula>NOT(ISERROR(SEARCH("Röd",D7)))</formula>
    </cfRule>
  </conditionalFormatting>
  <conditionalFormatting sqref="D24">
    <cfRule type="containsText" dxfId="175" priority="9" operator="containsText" text="Grön">
      <formula>NOT(ISERROR(SEARCH("Grön",D24)))</formula>
    </cfRule>
    <cfRule type="containsText" dxfId="174" priority="10" operator="containsText" text="Gul">
      <formula>NOT(ISERROR(SEARCH("Gul",D24)))</formula>
    </cfRule>
    <cfRule type="containsText" dxfId="173" priority="11" operator="containsText" text="Röd">
      <formula>NOT(ISERROR(SEARCH("Röd",D24)))</formula>
    </cfRule>
  </conditionalFormatting>
  <conditionalFormatting sqref="D25">
    <cfRule type="containsText" dxfId="172" priority="6" operator="containsText" text="Grön">
      <formula>NOT(ISERROR(SEARCH("Grön",D25)))</formula>
    </cfRule>
    <cfRule type="containsText" dxfId="171" priority="7" operator="containsText" text="Gul">
      <formula>NOT(ISERROR(SEARCH("Gul",D25)))</formula>
    </cfRule>
    <cfRule type="containsText" dxfId="170" priority="8" operator="containsText" text="Röd">
      <formula>NOT(ISERROR(SEARCH("Röd",D25)))</formula>
    </cfRule>
  </conditionalFormatting>
  <conditionalFormatting sqref="D26">
    <cfRule type="containsText" dxfId="169" priority="3" operator="containsText" text="Grön">
      <formula>NOT(ISERROR(SEARCH("Grön",D26)))</formula>
    </cfRule>
    <cfRule type="containsText" dxfId="168" priority="4" operator="containsText" text="Gul">
      <formula>NOT(ISERROR(SEARCH("Gul",D26)))</formula>
    </cfRule>
    <cfRule type="containsText" dxfId="167" priority="5" operator="containsText" text="Röd">
      <formula>NOT(ISERROR(SEARCH("Röd",D26)))</formula>
    </cfRule>
  </conditionalFormatting>
  <hyperlinks>
    <hyperlink ref="D30" location="Övergödning!B17" display="Tillbaka" xr:uid="{1D272E0E-8160-459E-B0A6-EB49AD81261F}"/>
  </hyperlink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59B38DA-A99B-4872-AEA8-05C1527F262A}">
            <xm:f>Ammoniaktabell!$C$90="Ja"</xm:f>
            <x14:dxf>
              <font>
                <strike val="0"/>
                <color theme="0" tint="-0.24994659260841701"/>
              </font>
            </x14:dxf>
          </x14:cfRule>
          <xm:sqref>B4:C5 B9:C11 C6:C8 B15:C17 C12:C14 C18:C20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F9EE04B-CBB6-4A5A-B045-F30E8E448AD7}">
          <x14:formula1>
            <xm:f>Ammoniaktabell!$B$47:$B$49</xm:f>
          </x14:formula1>
          <xm:sqref>C20</xm:sqref>
        </x14:dataValidation>
        <x14:dataValidation type="list" allowBlank="1" showInputMessage="1" showErrorMessage="1" xr:uid="{D2D63BD0-1CD7-450A-BDDE-096E2896DFED}">
          <x14:formula1>
            <xm:f>Ammoniaktabell!$B$42:$B$44</xm:f>
          </x14:formula1>
          <xm:sqref>C19</xm:sqref>
        </x14:dataValidation>
        <x14:dataValidation type="list" allowBlank="1" showInputMessage="1" showErrorMessage="1" xr:uid="{5E420DA4-8943-436E-94A6-96FC7CE9A4C3}">
          <x14:formula1>
            <xm:f>Ammoniaktabell!$B$37:$B$39</xm:f>
          </x14:formula1>
          <xm:sqref>C18</xm:sqref>
        </x14:dataValidation>
        <x14:dataValidation type="list" allowBlank="1" showInputMessage="1" showErrorMessage="1" xr:uid="{13EE58B9-FE1D-497C-82DC-E9790D40D8B3}">
          <x14:formula1>
            <xm:f>Ammoniaktabell!$B$62:$B$64</xm:f>
          </x14:formula1>
          <xm:sqref>C26</xm:sqref>
        </x14:dataValidation>
        <x14:dataValidation type="list" allowBlank="1" showInputMessage="1" showErrorMessage="1" xr:uid="{17E831A7-3B03-40E0-A6FB-4BD1825BCCF7}">
          <x14:formula1>
            <xm:f>Ammoniaktabell!$B$57:$B$59</xm:f>
          </x14:formula1>
          <xm:sqref>C25</xm:sqref>
        </x14:dataValidation>
        <x14:dataValidation type="list" allowBlank="1" showInputMessage="1" showErrorMessage="1" xr:uid="{FCD8FD74-C6FF-419D-9EB0-3639AFBFF9D7}">
          <x14:formula1>
            <xm:f>Ammoniaktabell!$B$52:$B$54</xm:f>
          </x14:formula1>
          <xm:sqref>C24</xm:sqref>
        </x14:dataValidation>
        <x14:dataValidation type="list" allowBlank="1" showInputMessage="1" showErrorMessage="1" xr:uid="{60C2CCC0-06DA-460C-8106-97196318C37C}">
          <x14:formula1>
            <xm:f>Ammoniaktabell!$B$32:$B$34</xm:f>
          </x14:formula1>
          <xm:sqref>C14</xm:sqref>
        </x14:dataValidation>
        <x14:dataValidation type="list" allowBlank="1" showInputMessage="1" showErrorMessage="1" xr:uid="{C82E6DEB-89BF-4969-890B-EB70DB620C18}">
          <x14:formula1>
            <xm:f>Ammoniaktabell!$B$27:$B$29</xm:f>
          </x14:formula1>
          <xm:sqref>C13</xm:sqref>
        </x14:dataValidation>
        <x14:dataValidation type="list" allowBlank="1" showInputMessage="1" showErrorMessage="1" xr:uid="{99481676-6FC6-4E2C-8C7C-3F438D88B20F}">
          <x14:formula1>
            <xm:f>Ammoniaktabell!$B$22:$B$24</xm:f>
          </x14:formula1>
          <xm:sqref>C12</xm:sqref>
        </x14:dataValidation>
        <x14:dataValidation type="list" allowBlank="1" showInputMessage="1" showErrorMessage="1" xr:uid="{1B586076-D006-40C7-9F9C-AFDD933E3D01}">
          <x14:formula1>
            <xm:f>Ammoniaktabell!$B$17:$B$19</xm:f>
          </x14:formula1>
          <xm:sqref>C8</xm:sqref>
        </x14:dataValidation>
        <x14:dataValidation type="list" allowBlank="1" showInputMessage="1" showErrorMessage="1" xr:uid="{65754145-DBA5-42FC-8099-5C0A37B8E4BD}">
          <x14:formula1>
            <xm:f>Ammoniaktabell!$B$12:$B$14</xm:f>
          </x14:formula1>
          <xm:sqref>C7</xm:sqref>
        </x14:dataValidation>
        <x14:dataValidation type="list" allowBlank="1" showInputMessage="1" showErrorMessage="1" xr:uid="{5B7D9238-B29E-4811-B7C6-85DD75C2C6EE}">
          <x14:formula1>
            <xm:f>Ammoniaktabell!$B$7:$B$9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43404-F27E-47CC-A103-0F36CE798804}">
  <dimension ref="A1:O21"/>
  <sheetViews>
    <sheetView zoomScaleNormal="100" workbookViewId="0">
      <selection activeCell="C9" sqref="C9"/>
    </sheetView>
  </sheetViews>
  <sheetFormatPr defaultColWidth="8.58203125" defaultRowHeight="12.5" x14ac:dyDescent="0.25"/>
  <cols>
    <col min="1" max="1" width="8.58203125" style="1"/>
    <col min="2" max="2" width="37.08203125" style="1" customWidth="1"/>
    <col min="3" max="3" width="69.33203125" style="1" customWidth="1"/>
    <col min="4" max="16384" width="8.58203125" style="1"/>
  </cols>
  <sheetData>
    <row r="1" spans="1:15" ht="20" x14ac:dyDescent="0.4">
      <c r="A1" s="118"/>
      <c r="B1" s="119" t="s">
        <v>393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</row>
    <row r="2" spans="1:15" ht="14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5" ht="15.5" x14ac:dyDescent="0.35">
      <c r="A3" s="118"/>
      <c r="B3" s="118"/>
      <c r="C3" s="120" t="str">
        <f>IF(D2="Nej","Gå direkt till frågorna om spridning!","")</f>
        <v/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5" ht="17.5" x14ac:dyDescent="0.35">
      <c r="A4" s="118"/>
      <c r="B4" s="121" t="s">
        <v>433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15.5" x14ac:dyDescent="0.35">
      <c r="A5" s="118"/>
      <c r="B5" s="213" t="s">
        <v>395</v>
      </c>
      <c r="C5" s="213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15.5" x14ac:dyDescent="0.35">
      <c r="A6" s="118"/>
      <c r="B6" s="118" t="s">
        <v>439</v>
      </c>
      <c r="C6" s="122"/>
      <c r="D6" s="123" t="str">
        <f>IF(C6="","",IF(VLOOKUP(C6,Läckagetabell!A3:B5,2,FALSE)&lt;0,"Grön",IF(VLOOKUP(C6,Läckagetabell!A3:B5,2,FALSE)&gt;0,"Röd","Gul")))</f>
        <v/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15.5" x14ac:dyDescent="0.35">
      <c r="A7" s="118"/>
      <c r="B7" s="118" t="s">
        <v>396</v>
      </c>
      <c r="C7" s="122"/>
      <c r="D7" s="123" t="str">
        <f>IF(C7="","",IF(VLOOKUP(C7,Läckagetabell!A8:B10,2,FALSE)&lt;0,"Grön",IF(VLOOKUP(C7,Läckagetabell!A8:B10,2,FALSE)&gt;0,"Röd","Gul")))</f>
        <v/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15.5" x14ac:dyDescent="0.35">
      <c r="A8" s="118"/>
      <c r="B8" s="118" t="s">
        <v>397</v>
      </c>
      <c r="C8" s="122"/>
      <c r="D8" s="123" t="str">
        <f>IF(C8="","",IF(VLOOKUP(C8,Läckagetabell!A13:B15,2,FALSE)&lt;0,"Grön",IF(VLOOKUP(C8,Läckagetabell!A13:B15,2,FALSE)&gt;0,"Röd","Gul")))</f>
        <v/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15.5" x14ac:dyDescent="0.35">
      <c r="A9" s="118"/>
      <c r="B9" s="118" t="s">
        <v>398</v>
      </c>
      <c r="C9" s="122"/>
      <c r="D9" s="123" t="str">
        <f>IF(C9="","",IF(VLOOKUP(C9,Läckagetabell!A18:B20,2,FALSE)&lt;0,"Grön",IF(VLOOKUP(C9,Läckagetabell!A18:B20,2,FALSE)&gt;0,"Röd","Gul")))</f>
        <v/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15.5" x14ac:dyDescent="0.35">
      <c r="A10" s="118"/>
      <c r="B10" s="118" t="s">
        <v>399</v>
      </c>
      <c r="C10" s="122"/>
      <c r="D10" s="123" t="str">
        <f>IF(C10="","",IF(VLOOKUP(C10,Läckagetabell!A23:B25,2,FALSE)&lt;0,"Grön",IF(VLOOKUP(C10,Läckagetabell!A23:B25,2,FALSE)&gt;0,"Röd","Gul")))</f>
        <v/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ht="15.5" x14ac:dyDescent="0.35">
      <c r="A11" s="118"/>
      <c r="B11" s="118" t="s">
        <v>400</v>
      </c>
      <c r="C11" s="122"/>
      <c r="D11" s="123" t="str">
        <f>IF(C11="","",IF(VLOOKUP(C11,Läckagetabell!A28:B30,2,FALSE)&lt;0,"Grön",IF(VLOOKUP(C11,Läckagetabell!A28:B30,2,FALSE)&gt;0,"Röd","Gul")))</f>
        <v/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5" ht="14" x14ac:dyDescent="0.3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5" ht="14" x14ac:dyDescent="0.3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5" ht="14" x14ac:dyDescent="0.3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18" x14ac:dyDescent="0.4">
      <c r="A15" s="118"/>
      <c r="B15" s="118"/>
      <c r="C15" s="124" t="s">
        <v>394</v>
      </c>
      <c r="D15" s="128" t="str">
        <f>Tabeller!B342</f>
        <v/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5" ht="14" x14ac:dyDescent="0.3">
      <c r="A16" s="118"/>
      <c r="B16" s="118"/>
      <c r="C16" s="118"/>
      <c r="D16" s="127" t="s">
        <v>242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1:15" ht="14" x14ac:dyDescent="0.3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1:15" ht="14" x14ac:dyDescent="0.3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</row>
    <row r="19" spans="1:15" ht="14" x14ac:dyDescent="0.3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</row>
    <row r="20" spans="1:15" ht="14" x14ac:dyDescent="0.3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</row>
    <row r="21" spans="1:15" ht="14" x14ac:dyDescent="0.3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</row>
  </sheetData>
  <mergeCells count="1">
    <mergeCell ref="B5:C5"/>
  </mergeCells>
  <conditionalFormatting sqref="D6">
    <cfRule type="containsText" dxfId="165" priority="47" operator="containsText" text="Grön">
      <formula>NOT(ISERROR(SEARCH("Grön",D6)))</formula>
    </cfRule>
    <cfRule type="containsText" dxfId="164" priority="48" operator="containsText" text="Gul">
      <formula>NOT(ISERROR(SEARCH("Gul",D6)))</formula>
    </cfRule>
    <cfRule type="containsText" dxfId="163" priority="49" operator="containsText" text="Röd">
      <formula>NOT(ISERROR(SEARCH("Röd",D6)))</formula>
    </cfRule>
  </conditionalFormatting>
  <conditionalFormatting sqref="D7">
    <cfRule type="containsText" dxfId="162" priority="19" operator="containsText" text="Grön">
      <formula>NOT(ISERROR(SEARCH("Grön",D7)))</formula>
    </cfRule>
    <cfRule type="containsText" dxfId="161" priority="20" operator="containsText" text="Gul">
      <formula>NOT(ISERROR(SEARCH("Gul",D7)))</formula>
    </cfRule>
    <cfRule type="containsText" dxfId="160" priority="21" operator="containsText" text="Röd">
      <formula>NOT(ISERROR(SEARCH("Röd",D7)))</formula>
    </cfRule>
  </conditionalFormatting>
  <conditionalFormatting sqref="D8">
    <cfRule type="containsText" dxfId="159" priority="16" operator="containsText" text="Grön">
      <formula>NOT(ISERROR(SEARCH("Grön",D8)))</formula>
    </cfRule>
    <cfRule type="containsText" dxfId="158" priority="17" operator="containsText" text="Gul">
      <formula>NOT(ISERROR(SEARCH("Gul",D8)))</formula>
    </cfRule>
    <cfRule type="containsText" dxfId="157" priority="18" operator="containsText" text="Röd">
      <formula>NOT(ISERROR(SEARCH("Röd",D8)))</formula>
    </cfRule>
  </conditionalFormatting>
  <conditionalFormatting sqref="D9">
    <cfRule type="containsText" dxfId="156" priority="13" operator="containsText" text="Grön">
      <formula>NOT(ISERROR(SEARCH("Grön",D9)))</formula>
    </cfRule>
    <cfRule type="containsText" dxfId="155" priority="14" operator="containsText" text="Gul">
      <formula>NOT(ISERROR(SEARCH("Gul",D9)))</formula>
    </cfRule>
    <cfRule type="containsText" dxfId="154" priority="15" operator="containsText" text="Röd">
      <formula>NOT(ISERROR(SEARCH("Röd",D9)))</formula>
    </cfRule>
  </conditionalFormatting>
  <conditionalFormatting sqref="D11">
    <cfRule type="containsText" dxfId="153" priority="1" operator="containsText" text="Grön">
      <formula>NOT(ISERROR(SEARCH("Grön",D11)))</formula>
    </cfRule>
    <cfRule type="containsText" dxfId="152" priority="2" operator="containsText" text="Gul">
      <formula>NOT(ISERROR(SEARCH("Gul",D11)))</formula>
    </cfRule>
    <cfRule type="containsText" dxfId="151" priority="3" operator="containsText" text="Röd">
      <formula>NOT(ISERROR(SEARCH("Röd",D11)))</formula>
    </cfRule>
  </conditionalFormatting>
  <conditionalFormatting sqref="D10">
    <cfRule type="containsText" dxfId="150" priority="4" operator="containsText" text="Grön">
      <formula>NOT(ISERROR(SEARCH("Grön",D10)))</formula>
    </cfRule>
    <cfRule type="containsText" dxfId="149" priority="5" operator="containsText" text="Gul">
      <formula>NOT(ISERROR(SEARCH("Gul",D10)))</formula>
    </cfRule>
    <cfRule type="containsText" dxfId="148" priority="6" operator="containsText" text="Röd">
      <formula>NOT(ISERROR(SEARCH("Röd",D10)))</formula>
    </cfRule>
  </conditionalFormatting>
  <hyperlinks>
    <hyperlink ref="D16" location="Övergödning!B17" display="Tillbaka" xr:uid="{FE351590-AC30-4E4D-B125-C6774B3F6AB1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" id="{EE23E64E-6663-4C97-AED7-6658995AFBAC}">
            <xm:f>Ammoniaktabell!$C$90="Ja"</xm:f>
            <x14:dxf>
              <font>
                <strike val="0"/>
                <color theme="0" tint="-0.24994659260841701"/>
              </font>
            </x14:dxf>
          </x14:cfRule>
          <xm:sqref>B4:C5 B12:C12 C6:C11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3EC112D-9695-45AF-B2B8-35684285FB5C}">
          <x14:formula1>
            <xm:f>Läckagetabell!$A$3:$A$5</xm:f>
          </x14:formula1>
          <xm:sqref>C6</xm:sqref>
        </x14:dataValidation>
        <x14:dataValidation type="list" allowBlank="1" showInputMessage="1" showErrorMessage="1" xr:uid="{B0B96B20-00A6-434D-B8B6-953A7D817F3B}">
          <x14:formula1>
            <xm:f>Läckagetabell!$A$8:$A$10</xm:f>
          </x14:formula1>
          <xm:sqref>C7</xm:sqref>
        </x14:dataValidation>
        <x14:dataValidation type="list" allowBlank="1" showInputMessage="1" showErrorMessage="1" xr:uid="{2A058C59-7B49-4724-93C3-8639781F2E48}">
          <x14:formula1>
            <xm:f>Läckagetabell!$A$13:$A$15</xm:f>
          </x14:formula1>
          <xm:sqref>C8</xm:sqref>
        </x14:dataValidation>
        <x14:dataValidation type="list" allowBlank="1" showInputMessage="1" showErrorMessage="1" xr:uid="{33A6BB01-B174-44BB-B0FC-42A640E55EFF}">
          <x14:formula1>
            <xm:f>Läckagetabell!$A$18:$A$20</xm:f>
          </x14:formula1>
          <xm:sqref>C9</xm:sqref>
        </x14:dataValidation>
        <x14:dataValidation type="list" allowBlank="1" showInputMessage="1" showErrorMessage="1" xr:uid="{DCFDEE60-14F7-43E4-8A04-EAF37AD65DEF}">
          <x14:formula1>
            <xm:f>Läckagetabell!$A$23:$A$25</xm:f>
          </x14:formula1>
          <xm:sqref>C10</xm:sqref>
        </x14:dataValidation>
        <x14:dataValidation type="list" allowBlank="1" showInputMessage="1" showErrorMessage="1" xr:uid="{65916586-F5A0-4E30-A241-2F50D3AFDD76}">
          <x14:formula1>
            <xm:f>Läckagetabell!$A$28:$A$30</xm:f>
          </x14:formula1>
          <xm:sqref>C11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tabSelected="1" topLeftCell="A4" zoomScaleNormal="100" workbookViewId="0">
      <selection activeCell="C7" sqref="C7:C16"/>
    </sheetView>
  </sheetViews>
  <sheetFormatPr defaultRowHeight="14" x14ac:dyDescent="0.3"/>
  <cols>
    <col min="1" max="1" width="0.83203125" style="36" customWidth="1"/>
    <col min="2" max="2" width="5.33203125" style="46" customWidth="1"/>
    <col min="3" max="3" width="64.75" customWidth="1"/>
    <col min="4" max="4" width="14.25" customWidth="1"/>
    <col min="6" max="6" width="3.5" customWidth="1"/>
    <col min="7" max="7" width="9.75" customWidth="1"/>
    <col min="8" max="8" width="22.08203125" customWidth="1"/>
  </cols>
  <sheetData>
    <row r="1" spans="2:9" x14ac:dyDescent="0.3">
      <c r="B1" s="51"/>
      <c r="C1" s="203"/>
      <c r="D1" s="48"/>
      <c r="E1" s="48"/>
      <c r="F1" s="48"/>
    </row>
    <row r="2" spans="2:9" ht="18.649999999999999" customHeight="1" x14ac:dyDescent="0.4">
      <c r="B2" s="50"/>
      <c r="C2" s="204" t="s">
        <v>251</v>
      </c>
      <c r="D2" s="37"/>
      <c r="E2" s="37"/>
      <c r="F2" s="37"/>
      <c r="G2" s="37"/>
      <c r="H2" s="8"/>
      <c r="I2" s="8"/>
    </row>
    <row r="3" spans="2:9" ht="28.15" customHeight="1" x14ac:dyDescent="0.35">
      <c r="B3" s="206">
        <v>1</v>
      </c>
      <c r="C3" s="207" t="s">
        <v>160</v>
      </c>
      <c r="D3" s="214"/>
      <c r="E3" s="215"/>
      <c r="F3" s="216"/>
      <c r="G3" s="123" t="str">
        <f>IF(OR(D3="",D3="Inte aktuellt"),"",VLOOKUP(D3,Tabeller!A$238:B$245,2,FALSE))</f>
        <v/>
      </c>
    </row>
    <row r="4" spans="2:9" ht="28.15" customHeight="1" x14ac:dyDescent="0.35">
      <c r="B4" s="206">
        <v>2</v>
      </c>
      <c r="C4" s="207" t="s">
        <v>161</v>
      </c>
      <c r="D4" s="214"/>
      <c r="E4" s="215"/>
      <c r="F4" s="216"/>
      <c r="G4" s="123" t="str">
        <f>IF(OR(D4="",D4="Inte aktuellt"),"",VLOOKUP(D4,Tabeller!A$238:B$245,2,FALSE))</f>
        <v/>
      </c>
    </row>
    <row r="5" spans="2:9" ht="28.15" customHeight="1" x14ac:dyDescent="0.35">
      <c r="B5" s="206">
        <v>3</v>
      </c>
      <c r="C5" s="207" t="s">
        <v>325</v>
      </c>
      <c r="D5" s="214"/>
      <c r="E5" s="215"/>
      <c r="F5" s="216"/>
      <c r="G5" s="123" t="str">
        <f>IF(OR(D5="",D5="Inte aktuellt"),"",VLOOKUP(D5,Tabeller!A$238:B$245,2,FALSE))</f>
        <v/>
      </c>
    </row>
    <row r="6" spans="2:9" ht="28.15" customHeight="1" x14ac:dyDescent="0.35">
      <c r="B6" s="206">
        <v>4</v>
      </c>
      <c r="C6" s="207" t="s">
        <v>326</v>
      </c>
      <c r="D6" s="214"/>
      <c r="E6" s="215"/>
      <c r="F6" s="216"/>
      <c r="G6" s="123" t="str">
        <f>IF(OR(D6="",D6="Inte aktuellt"),"",VLOOKUP(D6,Tabeller!A$238:B$245,2,FALSE))</f>
        <v/>
      </c>
    </row>
    <row r="7" spans="2:9" ht="28.15" customHeight="1" x14ac:dyDescent="0.35">
      <c r="B7" s="206">
        <v>5</v>
      </c>
      <c r="C7" s="212" t="s">
        <v>327</v>
      </c>
      <c r="D7" s="214"/>
      <c r="E7" s="215"/>
      <c r="F7" s="216"/>
      <c r="G7" s="123" t="str">
        <f>IF(OR(D7="",D7="Inte aktuellt"),"",VLOOKUP(D7,Tabeller!A$238:B$245,2,FALSE))</f>
        <v/>
      </c>
    </row>
    <row r="8" spans="2:9" ht="28.15" customHeight="1" x14ac:dyDescent="0.35">
      <c r="B8" s="206">
        <v>6</v>
      </c>
      <c r="C8" s="212" t="s">
        <v>546</v>
      </c>
      <c r="D8" s="214"/>
      <c r="E8" s="215"/>
      <c r="F8" s="216"/>
      <c r="G8" s="123" t="str">
        <f>IF(OR(D8="",D8="Inte aktuellt"),"",VLOOKUP(D8,Tabeller!A$246:B$249,2,FALSE))</f>
        <v/>
      </c>
    </row>
    <row r="9" spans="2:9" ht="28.15" customHeight="1" x14ac:dyDescent="0.35">
      <c r="B9" s="206">
        <v>7</v>
      </c>
      <c r="C9" s="212" t="s">
        <v>545</v>
      </c>
      <c r="D9" s="214"/>
      <c r="E9" s="215"/>
      <c r="F9" s="216"/>
      <c r="G9" s="123" t="str">
        <f>IF(OR(D9="",D9="Inte aktuellt"),"",VLOOKUP(D9,Tabeller!A$238:B$245,2,FALSE))</f>
        <v/>
      </c>
    </row>
    <row r="10" spans="2:9" ht="28.15" customHeight="1" x14ac:dyDescent="0.35">
      <c r="B10" s="206">
        <v>8</v>
      </c>
      <c r="C10" s="212" t="s">
        <v>328</v>
      </c>
      <c r="D10" s="214"/>
      <c r="E10" s="215"/>
      <c r="F10" s="216"/>
      <c r="G10" s="123" t="str">
        <f>IF(OR(D10="",D10="Inte aktuellt"),"",VLOOKUP(D10,Tabeller!A$238:B$245,2,FALSE))</f>
        <v/>
      </c>
    </row>
    <row r="11" spans="2:9" ht="28.15" customHeight="1" x14ac:dyDescent="0.35">
      <c r="B11" s="206">
        <v>9</v>
      </c>
      <c r="C11" s="212" t="s">
        <v>547</v>
      </c>
      <c r="D11" s="214"/>
      <c r="E11" s="215"/>
      <c r="F11" s="216"/>
      <c r="G11" s="123" t="str">
        <f>IF(OR(D11="",D11="Inte aktuellt"),"",VLOOKUP(D11,Tabeller!A$238:B$245,2,FALSE))</f>
        <v/>
      </c>
    </row>
    <row r="12" spans="2:9" ht="28.15" customHeight="1" x14ac:dyDescent="0.35">
      <c r="B12" s="206">
        <v>10</v>
      </c>
      <c r="C12" s="212" t="s">
        <v>528</v>
      </c>
      <c r="D12" s="214"/>
      <c r="E12" s="215"/>
      <c r="F12" s="216"/>
      <c r="G12" s="123" t="str">
        <f>IF(OR(D12="",D12="Inte aktuellt"),"",VLOOKUP(D12,Tabeller!A$37:C$38,3,FALSE))</f>
        <v/>
      </c>
    </row>
    <row r="13" spans="2:9" ht="28.15" customHeight="1" x14ac:dyDescent="0.35">
      <c r="B13" s="206">
        <v>11</v>
      </c>
      <c r="C13" s="212" t="s">
        <v>329</v>
      </c>
      <c r="D13" s="214"/>
      <c r="E13" s="215"/>
      <c r="F13" s="216"/>
      <c r="G13" s="123" t="str">
        <f>IF(OR(D13="",D13="Inte aktuellt"),"",VLOOKUP(D13,Tabeller!A$37:C$38,3,FALSE))</f>
        <v/>
      </c>
    </row>
    <row r="14" spans="2:9" ht="28.15" customHeight="1" x14ac:dyDescent="0.35">
      <c r="B14" s="206">
        <v>12</v>
      </c>
      <c r="C14" s="212" t="s">
        <v>330</v>
      </c>
      <c r="D14" s="214"/>
      <c r="E14" s="215"/>
      <c r="F14" s="216"/>
      <c r="G14" s="123" t="str">
        <f>IF(OR(D14="",D14="Inte aktuellt"),"",VLOOKUP(D14,Tabeller!A$238:B$245,2,FALSE))</f>
        <v/>
      </c>
    </row>
    <row r="15" spans="2:9" ht="28.15" customHeight="1" x14ac:dyDescent="0.35">
      <c r="B15" s="206">
        <v>13</v>
      </c>
      <c r="C15" s="212" t="s">
        <v>548</v>
      </c>
      <c r="D15" s="214"/>
      <c r="E15" s="215"/>
      <c r="F15" s="216"/>
      <c r="G15" s="123" t="str">
        <f>IF(OR(D15="",D15="Inte aktuellt"),"",VLOOKUP(D15,Tabeller!A$238:B$245,2,FALSE))</f>
        <v/>
      </c>
    </row>
    <row r="16" spans="2:9" ht="28.15" customHeight="1" x14ac:dyDescent="0.35">
      <c r="B16" s="206">
        <v>14</v>
      </c>
      <c r="C16" s="212" t="s">
        <v>549</v>
      </c>
      <c r="D16" s="214"/>
      <c r="E16" s="215"/>
      <c r="F16" s="216"/>
      <c r="G16" s="123" t="str">
        <f>IF(OR(D16="",D16="Inte aktuellt"),"",VLOOKUP(D16,Tabeller!A$238:B$245,2,FALSE))</f>
        <v/>
      </c>
    </row>
    <row r="17" spans="2:7" x14ac:dyDescent="0.3">
      <c r="B17" s="36"/>
      <c r="C17" s="205"/>
      <c r="D17" s="36"/>
      <c r="E17" s="36"/>
      <c r="F17" s="36"/>
      <c r="G17" s="36"/>
    </row>
    <row r="18" spans="2:7" x14ac:dyDescent="0.3">
      <c r="B18" s="36"/>
      <c r="C18" s="205"/>
      <c r="D18" s="166" t="s">
        <v>244</v>
      </c>
      <c r="E18" s="36"/>
      <c r="F18" s="36"/>
      <c r="G18" s="36"/>
    </row>
    <row r="19" spans="2:7" x14ac:dyDescent="0.3">
      <c r="B19" s="36"/>
      <c r="C19" s="205"/>
      <c r="D19" s="166" t="s">
        <v>243</v>
      </c>
      <c r="E19" s="36"/>
      <c r="F19" s="36"/>
      <c r="G19" s="36"/>
    </row>
    <row r="20" spans="2:7" x14ac:dyDescent="0.3">
      <c r="B20" s="36"/>
      <c r="C20" s="36"/>
      <c r="D20" s="36"/>
      <c r="E20" s="36"/>
      <c r="F20" s="36"/>
      <c r="G20" s="36"/>
    </row>
    <row r="22" spans="2:7" hidden="1" x14ac:dyDescent="0.3"/>
    <row r="23" spans="2:7" hidden="1" x14ac:dyDescent="0.3"/>
    <row r="24" spans="2:7" hidden="1" x14ac:dyDescent="0.3">
      <c r="D24" s="43" t="s">
        <v>226</v>
      </c>
      <c r="E24" s="31">
        <f t="shared" ref="E24:E26" si="0">COUNTIF(G$3:G$16,D24)</f>
        <v>0</v>
      </c>
    </row>
    <row r="25" spans="2:7" hidden="1" x14ac:dyDescent="0.3">
      <c r="D25" s="44" t="s">
        <v>225</v>
      </c>
      <c r="E25" s="31">
        <f t="shared" si="0"/>
        <v>0</v>
      </c>
    </row>
    <row r="26" spans="2:7" hidden="1" x14ac:dyDescent="0.3">
      <c r="D26" s="44" t="s">
        <v>224</v>
      </c>
      <c r="E26" s="31">
        <f t="shared" si="0"/>
        <v>0</v>
      </c>
    </row>
    <row r="27" spans="2:7" hidden="1" x14ac:dyDescent="0.3">
      <c r="D27" s="45" t="s">
        <v>26</v>
      </c>
      <c r="E27" s="31">
        <f>COUNTIF(G$3:G$16,"")</f>
        <v>14</v>
      </c>
    </row>
    <row r="28" spans="2:7" hidden="1" x14ac:dyDescent="0.3">
      <c r="D28" s="44"/>
      <c r="E28" s="31"/>
    </row>
    <row r="29" spans="2:7" hidden="1" x14ac:dyDescent="0.3">
      <c r="D29" s="44" t="s">
        <v>43</v>
      </c>
      <c r="E29" s="31">
        <f>2*SUM(E24:E26)</f>
        <v>0</v>
      </c>
    </row>
    <row r="30" spans="2:7" hidden="1" x14ac:dyDescent="0.3">
      <c r="D30" s="44" t="s">
        <v>120</v>
      </c>
      <c r="E30" s="30">
        <f>E24*2+E25</f>
        <v>0</v>
      </c>
    </row>
    <row r="31" spans="2:7" hidden="1" x14ac:dyDescent="0.3">
      <c r="D31" s="54" t="str">
        <f>IF(E29=0,"",E30/E29)</f>
        <v/>
      </c>
      <c r="E31" s="79" t="str">
        <f>IF(D31="","",IF(D31&gt;Tabeller!D158,"Grön",IF(D31&lt;Tabeller!C158,"Röd","Gul")))</f>
        <v/>
      </c>
    </row>
    <row r="32" spans="2:7" hidden="1" x14ac:dyDescent="0.3"/>
  </sheetData>
  <mergeCells count="14">
    <mergeCell ref="D3:F3"/>
    <mergeCell ref="D4:F4"/>
    <mergeCell ref="D5:F5"/>
    <mergeCell ref="D6:F6"/>
    <mergeCell ref="D7:F7"/>
    <mergeCell ref="D13:F13"/>
    <mergeCell ref="D14:F14"/>
    <mergeCell ref="D15:F15"/>
    <mergeCell ref="D16:F16"/>
    <mergeCell ref="D8:F8"/>
    <mergeCell ref="D9:F9"/>
    <mergeCell ref="D10:F10"/>
    <mergeCell ref="D11:F11"/>
    <mergeCell ref="D12:F12"/>
  </mergeCells>
  <conditionalFormatting sqref="G3:G16">
    <cfRule type="containsText" dxfId="146" priority="1" operator="containsText" text="Grön">
      <formula>NOT(ISERROR(SEARCH("Grön",G3)))</formula>
    </cfRule>
    <cfRule type="containsText" dxfId="145" priority="2" operator="containsText" text="Gul">
      <formula>NOT(ISERROR(SEARCH("Gul",G3)))</formula>
    </cfRule>
    <cfRule type="containsText" dxfId="144" priority="3" operator="containsText" text="Röd">
      <formula>NOT(ISERROR(SEARCH("Röd",G3)))</formula>
    </cfRule>
  </conditionalFormatting>
  <hyperlinks>
    <hyperlink ref="D19" location="Introduktion!A1" display="Till Introduktion" xr:uid="{67EAEF4A-5F0D-44A0-B6E0-C1847F7993DC}"/>
    <hyperlink ref="D18" location="Växtskydd!A1" display="Till Växtskydd" xr:uid="{85A80BF3-D8CE-4D2D-A1E6-666E5C7A035F}"/>
  </hyperlink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812162D2-C04C-4B38-979D-34AC7953FABE}">
          <x14:formula1>
            <xm:f>Tabeller!$B$181:$B$184</xm:f>
          </x14:formula1>
          <xm:sqref>D3:F3</xm:sqref>
        </x14:dataValidation>
        <x14:dataValidation type="list" allowBlank="1" showInputMessage="1" showErrorMessage="1" xr:uid="{783D4750-A654-4A74-96B1-E147CB6D75B4}">
          <x14:formula1>
            <xm:f>Tabeller!$B$185:$B$188</xm:f>
          </x14:formula1>
          <xm:sqref>D4:F4</xm:sqref>
        </x14:dataValidation>
        <x14:dataValidation type="list" allowBlank="1" showInputMessage="1" showErrorMessage="1" xr:uid="{1E384B34-357A-4A6E-97D6-28CFB3B9BBA4}">
          <x14:formula1>
            <xm:f>Tabeller!$B$189:$B$192</xm:f>
          </x14:formula1>
          <xm:sqref>D5:F5</xm:sqref>
        </x14:dataValidation>
        <x14:dataValidation type="list" allowBlank="1" showInputMessage="1" showErrorMessage="1" xr:uid="{EAC1A3D7-D92A-4960-B901-AAE2076719CA}">
          <x14:formula1>
            <xm:f>Tabeller!$B$193:$B$196</xm:f>
          </x14:formula1>
          <xm:sqref>D6:F6</xm:sqref>
        </x14:dataValidation>
        <x14:dataValidation type="list" allowBlank="1" showInputMessage="1" showErrorMessage="1" xr:uid="{9A789814-DD8E-45D4-B504-3ACDEB4B397A}">
          <x14:formula1>
            <xm:f>Tabeller!$B$197:$B$200</xm:f>
          </x14:formula1>
          <xm:sqref>D7:F7</xm:sqref>
        </x14:dataValidation>
        <x14:dataValidation type="list" allowBlank="1" showInputMessage="1" showErrorMessage="1" xr:uid="{C759002E-4643-4C78-8AC0-83A7F770DC78}">
          <x14:formula1>
            <xm:f>Tabeller!$B$201:$B$204</xm:f>
          </x14:formula1>
          <xm:sqref>D8:F8</xm:sqref>
        </x14:dataValidation>
        <x14:dataValidation type="list" allowBlank="1" showInputMessage="1" showErrorMessage="1" xr:uid="{B8932443-B18A-45C6-8BA3-47E1318EAB1A}">
          <x14:formula1>
            <xm:f>Tabeller!$B$205:$B$208</xm:f>
          </x14:formula1>
          <xm:sqref>D9:F9</xm:sqref>
        </x14:dataValidation>
        <x14:dataValidation type="list" allowBlank="1" showInputMessage="1" showErrorMessage="1" xr:uid="{B5ED511B-83E0-4433-BE06-A68BF351FFE5}">
          <x14:formula1>
            <xm:f>Tabeller!$B$209:$B$212</xm:f>
          </x14:formula1>
          <xm:sqref>D10:F10</xm:sqref>
        </x14:dataValidation>
        <x14:dataValidation type="list" allowBlank="1" showInputMessage="1" showErrorMessage="1" xr:uid="{4364CA5B-2BFE-4A0B-82BF-3D4EF590B652}">
          <x14:formula1>
            <xm:f>Tabeller!$B$213:$B$216</xm:f>
          </x14:formula1>
          <xm:sqref>D11:F11</xm:sqref>
        </x14:dataValidation>
        <x14:dataValidation type="list" allowBlank="1" showInputMessage="1" showErrorMessage="1" xr:uid="{62B5817D-E416-41A7-A73D-86949BF71E1F}">
          <x14:formula1>
            <xm:f>Tabeller!$A$37:$A$39</xm:f>
          </x14:formula1>
          <xm:sqref>D12:F13</xm:sqref>
        </x14:dataValidation>
        <x14:dataValidation type="list" allowBlank="1" showInputMessage="1" showErrorMessage="1" xr:uid="{E0EE60EF-A687-4DC7-9BEC-40461577AE8B}">
          <x14:formula1>
            <xm:f>Tabeller!$B$225:$B$228</xm:f>
          </x14:formula1>
          <xm:sqref>D14:F14</xm:sqref>
        </x14:dataValidation>
        <x14:dataValidation type="list" allowBlank="1" showInputMessage="1" showErrorMessage="1" xr:uid="{5DD9497E-BAE3-491C-9D2A-EB6B5AB28C06}">
          <x14:formula1>
            <xm:f>Tabeller!$B$229:$B$232</xm:f>
          </x14:formula1>
          <xm:sqref>D15:F15</xm:sqref>
        </x14:dataValidation>
        <x14:dataValidation type="list" allowBlank="1" showInputMessage="1" showErrorMessage="1" xr:uid="{F7AE79D3-47E4-4BDB-8B73-CAE0E4AE6458}">
          <x14:formula1>
            <xm:f>Tabeller!$B$233:$B$236</xm:f>
          </x14:formula1>
          <xm:sqref>D16:F16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1"/>
  <sheetViews>
    <sheetView topLeftCell="A61" workbookViewId="0">
      <selection activeCell="C69" sqref="C69"/>
    </sheetView>
  </sheetViews>
  <sheetFormatPr defaultRowHeight="14" x14ac:dyDescent="0.3"/>
  <cols>
    <col min="1" max="1" width="3.5" style="7" customWidth="1"/>
    <col min="2" max="2" width="51.08203125" customWidth="1"/>
    <col min="3" max="3" width="39.58203125" customWidth="1"/>
    <col min="6" max="12" width="8.75" hidden="1" customWidth="1"/>
    <col min="13" max="13" width="11.83203125" hidden="1" customWidth="1"/>
    <col min="14" max="17" width="8.75" hidden="1" customWidth="1"/>
    <col min="18" max="19" width="0" hidden="1" customWidth="1"/>
  </cols>
  <sheetData>
    <row r="1" spans="1:16" ht="18" x14ac:dyDescent="0.4">
      <c r="A1" s="64"/>
      <c r="B1" s="34" t="s">
        <v>23</v>
      </c>
      <c r="C1" s="35"/>
      <c r="D1" s="35"/>
      <c r="E1" s="35"/>
      <c r="F1" s="48"/>
      <c r="G1" s="48"/>
      <c r="K1" t="s">
        <v>43</v>
      </c>
      <c r="L1" t="s">
        <v>319</v>
      </c>
      <c r="M1" t="s">
        <v>344</v>
      </c>
      <c r="N1" t="s">
        <v>358</v>
      </c>
    </row>
    <row r="2" spans="1:16" x14ac:dyDescent="0.3">
      <c r="A2" s="61"/>
      <c r="B2" s="36"/>
      <c r="C2" s="36"/>
      <c r="D2" s="36"/>
      <c r="E2" s="36"/>
      <c r="F2" s="48"/>
      <c r="G2" s="48"/>
      <c r="J2" t="s">
        <v>316</v>
      </c>
      <c r="K2">
        <v>1</v>
      </c>
      <c r="L2">
        <v>-1</v>
      </c>
      <c r="M2">
        <f>K2+ABS(L2)</f>
        <v>2</v>
      </c>
      <c r="N2" t="str">
        <f>IFERROR(Tabeller!A271-L2,"")</f>
        <v/>
      </c>
      <c r="O2" s="86" t="str">
        <f>IFERROR(N2/M2,"")</f>
        <v/>
      </c>
    </row>
    <row r="3" spans="1:16" ht="15.5" x14ac:dyDescent="0.35">
      <c r="A3" s="36"/>
      <c r="B3" s="149" t="s">
        <v>122</v>
      </c>
      <c r="C3" s="36"/>
      <c r="D3" s="36"/>
      <c r="E3" s="36"/>
      <c r="F3" s="48"/>
      <c r="G3" s="48"/>
      <c r="J3" t="s">
        <v>317</v>
      </c>
      <c r="K3">
        <v>6</v>
      </c>
      <c r="L3">
        <v>-6</v>
      </c>
      <c r="M3">
        <f t="shared" ref="M3:M4" si="0">K3+ABS(L3)</f>
        <v>12</v>
      </c>
      <c r="N3" t="str">
        <f>IF(I6=TRUE,"",IF(L6="Ja","",K8-L3))</f>
        <v/>
      </c>
      <c r="O3" s="86" t="str">
        <f t="shared" ref="O3:O4" si="1">IFERROR(N3/M3,"")</f>
        <v/>
      </c>
    </row>
    <row r="4" spans="1:16" x14ac:dyDescent="0.3">
      <c r="A4" s="153">
        <v>1</v>
      </c>
      <c r="B4" s="154" t="s">
        <v>315</v>
      </c>
      <c r="C4" s="148"/>
      <c r="D4" s="80" t="str">
        <f>IFERROR(Tabeller!B271,"")</f>
        <v/>
      </c>
      <c r="E4" s="36"/>
      <c r="F4" s="48"/>
      <c r="G4" s="48"/>
      <c r="J4" t="s">
        <v>318</v>
      </c>
      <c r="K4">
        <v>4</v>
      </c>
      <c r="L4">
        <v>-4</v>
      </c>
      <c r="M4">
        <f t="shared" si="0"/>
        <v>8</v>
      </c>
      <c r="N4" t="str">
        <f>IF(I27=TRUE,"",IF(L27="Ja","",K32-L4))</f>
        <v/>
      </c>
      <c r="O4" s="86" t="str">
        <f t="shared" si="1"/>
        <v/>
      </c>
    </row>
    <row r="5" spans="1:16" x14ac:dyDescent="0.3">
      <c r="A5" s="151"/>
      <c r="B5" s="62"/>
      <c r="C5" s="36"/>
      <c r="D5" s="62"/>
      <c r="E5" s="36"/>
      <c r="F5" s="48"/>
      <c r="G5" s="48"/>
      <c r="O5" s="86" t="str">
        <f>IFERROR(AVERAGE(O2:O4),"")</f>
        <v/>
      </c>
      <c r="P5" s="179" t="str">
        <f>IF(O5="","",IF(O5&gt;Tabeller!D149,"Grön",IF(O5&lt;Tabeller!C149,"Röd","Gul")))</f>
        <v/>
      </c>
    </row>
    <row r="6" spans="1:16" x14ac:dyDescent="0.3">
      <c r="A6" s="151">
        <v>2</v>
      </c>
      <c r="B6" s="62" t="s">
        <v>311</v>
      </c>
      <c r="C6" s="148"/>
      <c r="D6" s="80" t="str">
        <f>K12</f>
        <v/>
      </c>
      <c r="E6" s="36"/>
      <c r="F6" s="48"/>
      <c r="G6" s="48"/>
      <c r="I6" t="b">
        <v>0</v>
      </c>
      <c r="J6">
        <f>IF(I6=TRUE,"",0)</f>
        <v>0</v>
      </c>
      <c r="K6" t="s">
        <v>320</v>
      </c>
      <c r="L6" t="str">
        <f>IF(COUNTIF(I6:I14,FALSE)=9,"Ja","Nej")</f>
        <v>Ja</v>
      </c>
    </row>
    <row r="7" spans="1:16" x14ac:dyDescent="0.3">
      <c r="A7" s="151"/>
      <c r="B7" s="62"/>
      <c r="C7" s="148"/>
      <c r="D7" s="36"/>
      <c r="E7" s="36"/>
      <c r="F7" s="48"/>
      <c r="G7" s="48"/>
      <c r="I7" t="b">
        <v>0</v>
      </c>
    </row>
    <row r="8" spans="1:16" x14ac:dyDescent="0.3">
      <c r="A8" s="151"/>
      <c r="B8" s="62"/>
      <c r="C8" s="148"/>
      <c r="D8" s="36"/>
      <c r="E8" s="36"/>
      <c r="F8" s="48"/>
      <c r="G8" s="48"/>
      <c r="I8" t="b">
        <v>0</v>
      </c>
      <c r="J8" t="str">
        <f>IF(OR(I7=TRUE,I8=TRUE),1,"")</f>
        <v/>
      </c>
      <c r="K8" s="177">
        <f>SUM(J8:J13)</f>
        <v>0</v>
      </c>
    </row>
    <row r="9" spans="1:16" x14ac:dyDescent="0.3">
      <c r="A9" s="151"/>
      <c r="B9" s="62"/>
      <c r="C9" s="148"/>
      <c r="D9" s="36"/>
      <c r="E9" s="36"/>
      <c r="F9" s="48"/>
      <c r="G9" s="48"/>
      <c r="I9" t="b">
        <v>0</v>
      </c>
      <c r="J9" t="str">
        <f>IF(I9=TRUE,1,"")</f>
        <v/>
      </c>
    </row>
    <row r="10" spans="1:16" x14ac:dyDescent="0.3">
      <c r="A10" s="151"/>
      <c r="B10" s="62"/>
      <c r="C10" s="148"/>
      <c r="D10" s="36"/>
      <c r="E10" s="36"/>
      <c r="F10" s="48"/>
      <c r="G10" s="48"/>
      <c r="I10" t="b">
        <v>0</v>
      </c>
      <c r="J10" t="str">
        <f>IF(I10=TRUE,1,"")</f>
        <v/>
      </c>
    </row>
    <row r="11" spans="1:16" x14ac:dyDescent="0.3">
      <c r="A11" s="151"/>
      <c r="B11" s="62"/>
      <c r="C11" s="148"/>
      <c r="D11" s="36"/>
      <c r="E11" s="36"/>
      <c r="F11" s="48"/>
      <c r="G11" s="48"/>
      <c r="I11" t="b">
        <v>0</v>
      </c>
      <c r="J11" t="str">
        <f>IF(I11=TRUE,1,"")</f>
        <v/>
      </c>
      <c r="K11" t="str">
        <f>IF(OR(L6="Ja",I6=TRUE),"",MIN(J14,K8))</f>
        <v/>
      </c>
    </row>
    <row r="12" spans="1:16" x14ac:dyDescent="0.3">
      <c r="A12" s="151"/>
      <c r="B12" s="62"/>
      <c r="C12" s="148"/>
      <c r="D12" s="36"/>
      <c r="E12" s="36"/>
      <c r="F12" s="48"/>
      <c r="G12" s="48"/>
      <c r="I12" t="b">
        <v>0</v>
      </c>
      <c r="J12" t="str">
        <f>IF(I12=TRUE,1,"")</f>
        <v/>
      </c>
      <c r="K12" s="177" t="str">
        <f>IF(OR(L6="Ja",I6=TRUE),"",IF(J14&lt;0,"Röd",IF(K8&gt;3,"Grön","Gul")))</f>
        <v/>
      </c>
    </row>
    <row r="13" spans="1:16" x14ac:dyDescent="0.3">
      <c r="A13" s="151"/>
      <c r="B13" s="62"/>
      <c r="C13" s="148"/>
      <c r="D13" s="36"/>
      <c r="E13" s="36"/>
      <c r="F13" s="48"/>
      <c r="G13" s="48"/>
      <c r="I13" t="b">
        <v>0</v>
      </c>
      <c r="J13" t="str">
        <f>IF(I13=TRUE,1,"")</f>
        <v/>
      </c>
    </row>
    <row r="14" spans="1:16" x14ac:dyDescent="0.3">
      <c r="A14" s="151"/>
      <c r="B14" s="62"/>
      <c r="C14" s="148"/>
      <c r="D14" s="36"/>
      <c r="E14" s="36"/>
      <c r="F14" s="48"/>
      <c r="G14" s="48"/>
      <c r="I14" t="b">
        <v>0</v>
      </c>
      <c r="J14" t="str">
        <f>IF(I14=TRUE,-6,"")</f>
        <v/>
      </c>
    </row>
    <row r="15" spans="1:16" x14ac:dyDescent="0.3">
      <c r="A15" s="151"/>
      <c r="B15" s="62"/>
      <c r="C15" s="36"/>
      <c r="D15" s="62"/>
      <c r="E15" s="36"/>
      <c r="F15" s="48"/>
      <c r="G15" s="48"/>
    </row>
    <row r="16" spans="1:16" x14ac:dyDescent="0.3">
      <c r="A16" s="151">
        <v>3</v>
      </c>
      <c r="B16" s="62" t="s">
        <v>312</v>
      </c>
      <c r="C16" s="148"/>
      <c r="D16" s="36"/>
      <c r="E16" s="36"/>
      <c r="F16" s="48"/>
      <c r="G16" s="48"/>
      <c r="I16" t="b">
        <v>0</v>
      </c>
      <c r="K16" t="s">
        <v>320</v>
      </c>
      <c r="L16" t="str">
        <f>IF(COUNTIF(I16:I25,FALSE)=10,"Ja","Nej")</f>
        <v>Ja</v>
      </c>
    </row>
    <row r="17" spans="1:12" x14ac:dyDescent="0.3">
      <c r="A17" s="151"/>
      <c r="B17" s="62"/>
      <c r="C17" s="148"/>
      <c r="D17" s="36"/>
      <c r="E17" s="36"/>
      <c r="F17" s="48"/>
      <c r="G17" s="48"/>
      <c r="I17" t="b">
        <v>0</v>
      </c>
    </row>
    <row r="18" spans="1:12" x14ac:dyDescent="0.3">
      <c r="A18" s="151"/>
      <c r="B18" s="62"/>
      <c r="C18" s="148"/>
      <c r="D18" s="36"/>
      <c r="E18" s="36"/>
      <c r="F18" s="48"/>
      <c r="G18" s="48"/>
      <c r="I18" t="b">
        <v>0</v>
      </c>
    </row>
    <row r="19" spans="1:12" x14ac:dyDescent="0.3">
      <c r="A19" s="151"/>
      <c r="B19" s="62"/>
      <c r="C19" s="148"/>
      <c r="D19" s="36"/>
      <c r="E19" s="36"/>
      <c r="F19" s="48"/>
      <c r="G19" s="48"/>
      <c r="I19" t="b">
        <v>0</v>
      </c>
    </row>
    <row r="20" spans="1:12" x14ac:dyDescent="0.3">
      <c r="A20" s="151"/>
      <c r="B20" s="62"/>
      <c r="C20" s="148"/>
      <c r="D20" s="36"/>
      <c r="E20" s="36"/>
      <c r="F20" s="48"/>
      <c r="G20" s="48"/>
      <c r="I20" t="b">
        <v>0</v>
      </c>
    </row>
    <row r="21" spans="1:12" x14ac:dyDescent="0.3">
      <c r="A21" s="151"/>
      <c r="B21" s="62"/>
      <c r="C21" s="148"/>
      <c r="D21" s="36"/>
      <c r="E21" s="36"/>
      <c r="F21" s="48"/>
      <c r="G21" s="48"/>
      <c r="I21" t="b">
        <v>0</v>
      </c>
    </row>
    <row r="22" spans="1:12" x14ac:dyDescent="0.3">
      <c r="A22" s="151"/>
      <c r="B22" s="62"/>
      <c r="C22" s="148"/>
      <c r="D22" s="36"/>
      <c r="E22" s="36"/>
      <c r="F22" s="48"/>
      <c r="G22" s="48"/>
      <c r="I22" t="b">
        <v>0</v>
      </c>
    </row>
    <row r="23" spans="1:12" x14ac:dyDescent="0.3">
      <c r="A23" s="151"/>
      <c r="B23" s="62"/>
      <c r="C23" s="148"/>
      <c r="D23" s="36"/>
      <c r="E23" s="36"/>
      <c r="F23" s="48"/>
      <c r="G23" s="48"/>
      <c r="I23" t="b">
        <v>0</v>
      </c>
    </row>
    <row r="24" spans="1:12" x14ac:dyDescent="0.3">
      <c r="A24" s="151"/>
      <c r="B24" s="62"/>
      <c r="C24" s="148"/>
      <c r="D24" s="36"/>
      <c r="E24" s="36"/>
      <c r="F24" s="48"/>
      <c r="G24" s="48"/>
      <c r="I24" t="b">
        <v>0</v>
      </c>
    </row>
    <row r="25" spans="1:12" x14ac:dyDescent="0.3">
      <c r="A25" s="151"/>
      <c r="B25" s="62"/>
      <c r="C25" s="148"/>
      <c r="D25" s="36"/>
      <c r="E25" s="36"/>
      <c r="F25" s="48"/>
      <c r="G25" s="48"/>
      <c r="I25" t="b">
        <v>0</v>
      </c>
    </row>
    <row r="26" spans="1:12" x14ac:dyDescent="0.3">
      <c r="A26" s="151"/>
      <c r="B26" s="62"/>
      <c r="C26" s="62"/>
      <c r="D26" s="62"/>
      <c r="E26" s="36"/>
      <c r="F26" s="48"/>
      <c r="G26" s="48"/>
    </row>
    <row r="27" spans="1:12" ht="13.9" customHeight="1" x14ac:dyDescent="0.3">
      <c r="A27" s="151">
        <v>4</v>
      </c>
      <c r="B27" s="62" t="s">
        <v>313</v>
      </c>
      <c r="C27" s="148"/>
      <c r="D27" s="80" t="str">
        <f>IF(OR(I27=TRUE,K32=0),"",IF(K32&gt;0,"Grön",(IF(K32&lt;0,"Röd","Gul"))))</f>
        <v/>
      </c>
      <c r="E27" s="36"/>
      <c r="F27" s="48"/>
      <c r="G27" s="48"/>
      <c r="I27" t="b">
        <v>0</v>
      </c>
      <c r="J27">
        <f>IF(I27=TRUE,"",0)</f>
        <v>0</v>
      </c>
      <c r="K27" t="s">
        <v>320</v>
      </c>
      <c r="L27" t="str">
        <f>IF(COUNTIF(I27:I35,FALSE)=9,"Ja","Nej")</f>
        <v>Ja</v>
      </c>
    </row>
    <row r="28" spans="1:12" x14ac:dyDescent="0.3">
      <c r="A28" s="151"/>
      <c r="B28" s="62"/>
      <c r="C28" s="148"/>
      <c r="D28" s="36"/>
      <c r="E28" s="36"/>
      <c r="F28" s="48"/>
      <c r="G28" s="48"/>
      <c r="I28" t="b">
        <v>0</v>
      </c>
      <c r="K28" s="177" t="str">
        <f>IF(SUM(J29:J33)=0,"",SUM(J29:J32))</f>
        <v/>
      </c>
    </row>
    <row r="29" spans="1:12" x14ac:dyDescent="0.3">
      <c r="A29" s="151"/>
      <c r="B29" s="62"/>
      <c r="C29" s="148"/>
      <c r="D29" s="36"/>
      <c r="E29" s="36"/>
      <c r="F29" s="48"/>
      <c r="G29" s="48"/>
      <c r="I29" t="b">
        <v>0</v>
      </c>
      <c r="J29" t="str">
        <f>IF(OR(I28=TRUE,I29=TRUE),1,"")</f>
        <v/>
      </c>
      <c r="K29" s="177" t="str">
        <f>J33</f>
        <v/>
      </c>
    </row>
    <row r="30" spans="1:12" x14ac:dyDescent="0.3">
      <c r="A30" s="151"/>
      <c r="B30" s="62"/>
      <c r="C30" s="148"/>
      <c r="D30" s="36"/>
      <c r="E30" s="36"/>
      <c r="F30" s="48"/>
      <c r="G30" s="48"/>
      <c r="I30" t="b">
        <v>0</v>
      </c>
      <c r="J30" t="str">
        <f>IF(I30=TRUE,1,"")</f>
        <v/>
      </c>
      <c r="K30" s="177" t="str">
        <f>IF(OR(I34=TRUE,I35=TRUE),0,"")</f>
        <v/>
      </c>
    </row>
    <row r="31" spans="1:12" x14ac:dyDescent="0.3">
      <c r="A31" s="151"/>
      <c r="B31" s="62"/>
      <c r="C31" s="148"/>
      <c r="D31" s="36"/>
      <c r="E31" s="36"/>
      <c r="F31" s="48"/>
      <c r="G31" s="48"/>
      <c r="I31" t="b">
        <v>0</v>
      </c>
      <c r="J31" t="str">
        <f>IF(I31=TRUE,1,"")</f>
        <v/>
      </c>
    </row>
    <row r="32" spans="1:12" x14ac:dyDescent="0.3">
      <c r="A32" s="151"/>
      <c r="B32" s="62"/>
      <c r="C32" s="148"/>
      <c r="D32" s="36"/>
      <c r="E32" s="36"/>
      <c r="F32" s="48"/>
      <c r="G32" s="48"/>
      <c r="I32" t="b">
        <v>0</v>
      </c>
      <c r="J32" t="str">
        <f>IF(I32=TRUE,1,"")</f>
        <v/>
      </c>
      <c r="K32" s="177">
        <f>IF(OR(I27=TRUE,K28=""),0,MIN(K28,K29,K30))</f>
        <v>0</v>
      </c>
    </row>
    <row r="33" spans="1:12" x14ac:dyDescent="0.3">
      <c r="A33" s="151"/>
      <c r="B33" s="62"/>
      <c r="C33" s="148"/>
      <c r="D33" s="36"/>
      <c r="E33" s="36"/>
      <c r="F33" s="48"/>
      <c r="G33" s="48"/>
      <c r="I33" t="b">
        <v>0</v>
      </c>
      <c r="J33" t="str">
        <f>IF(I33=TRUE,-4,"")</f>
        <v/>
      </c>
    </row>
    <row r="34" spans="1:12" x14ac:dyDescent="0.3">
      <c r="A34" s="151"/>
      <c r="B34" s="62"/>
      <c r="C34" s="148"/>
      <c r="D34" s="36"/>
      <c r="E34" s="36"/>
      <c r="F34" s="48"/>
      <c r="G34" s="48"/>
      <c r="I34" t="b">
        <v>0</v>
      </c>
      <c r="J34" t="str">
        <f>IF(I34=TRUE,0,"")</f>
        <v/>
      </c>
    </row>
    <row r="35" spans="1:12" x14ac:dyDescent="0.3">
      <c r="A35" s="151"/>
      <c r="B35" s="62"/>
      <c r="C35" s="148"/>
      <c r="D35" s="36"/>
      <c r="E35" s="36"/>
      <c r="F35" s="48"/>
      <c r="G35" s="48"/>
      <c r="I35" t="b">
        <v>0</v>
      </c>
      <c r="J35" t="str">
        <f>IF(I35=TRUE,0,"")</f>
        <v/>
      </c>
    </row>
    <row r="36" spans="1:12" x14ac:dyDescent="0.3">
      <c r="A36" s="151"/>
      <c r="B36" s="62"/>
      <c r="C36" s="36"/>
      <c r="D36" s="36"/>
      <c r="E36" s="36"/>
      <c r="F36" s="48"/>
      <c r="G36" s="48"/>
    </row>
    <row r="37" spans="1:12" ht="13.9" customHeight="1" x14ac:dyDescent="0.3">
      <c r="A37" s="151">
        <v>5</v>
      </c>
      <c r="B37" s="62" t="s">
        <v>314</v>
      </c>
      <c r="C37" s="148"/>
      <c r="D37" s="36"/>
      <c r="E37" s="36"/>
      <c r="F37" s="48"/>
      <c r="G37" s="48"/>
      <c r="I37" t="b">
        <v>0</v>
      </c>
      <c r="K37" t="s">
        <v>320</v>
      </c>
      <c r="L37" t="str">
        <f>IF(COUNTIF(I37:I46,FALSE)=10,"Ja","Nej")</f>
        <v>Ja</v>
      </c>
    </row>
    <row r="38" spans="1:12" ht="13.9" customHeight="1" x14ac:dyDescent="0.3">
      <c r="A38" s="41"/>
      <c r="B38" s="62"/>
      <c r="C38" s="148"/>
      <c r="D38" s="15"/>
      <c r="E38" s="36"/>
      <c r="F38" s="48"/>
      <c r="G38" s="48"/>
      <c r="I38" t="b">
        <v>0</v>
      </c>
    </row>
    <row r="39" spans="1:12" ht="13.9" customHeight="1" x14ac:dyDescent="0.3">
      <c r="A39" s="41"/>
      <c r="B39" s="62"/>
      <c r="C39" s="148"/>
      <c r="D39" s="15"/>
      <c r="E39" s="36"/>
      <c r="F39" s="48"/>
      <c r="G39" s="48"/>
      <c r="I39" t="b">
        <v>0</v>
      </c>
      <c r="L39" s="173"/>
    </row>
    <row r="40" spans="1:12" ht="13.9" customHeight="1" x14ac:dyDescent="0.3">
      <c r="A40" s="41"/>
      <c r="B40" s="62"/>
      <c r="C40" s="148"/>
      <c r="D40" s="15"/>
      <c r="E40" s="36"/>
      <c r="F40" s="48"/>
      <c r="G40" s="48"/>
      <c r="I40" t="b">
        <v>0</v>
      </c>
    </row>
    <row r="41" spans="1:12" ht="13.9" customHeight="1" x14ac:dyDescent="0.3">
      <c r="A41" s="41"/>
      <c r="B41" s="62"/>
      <c r="C41" s="148"/>
      <c r="D41" s="15"/>
      <c r="E41" s="36"/>
      <c r="F41" s="48"/>
      <c r="G41" s="48"/>
      <c r="I41" t="b">
        <v>0</v>
      </c>
    </row>
    <row r="42" spans="1:12" ht="13.9" customHeight="1" x14ac:dyDescent="0.3">
      <c r="A42" s="41"/>
      <c r="B42" s="62"/>
      <c r="C42" s="148"/>
      <c r="D42" s="15"/>
      <c r="E42" s="36"/>
      <c r="F42" s="48"/>
      <c r="G42" s="48"/>
      <c r="I42" t="b">
        <v>0</v>
      </c>
    </row>
    <row r="43" spans="1:12" ht="13.9" customHeight="1" x14ac:dyDescent="0.3">
      <c r="A43" s="41"/>
      <c r="B43" s="62"/>
      <c r="C43" s="148"/>
      <c r="D43" s="15"/>
      <c r="E43" s="36"/>
      <c r="F43" s="48"/>
      <c r="G43" s="48"/>
      <c r="I43" t="b">
        <v>0</v>
      </c>
    </row>
    <row r="44" spans="1:12" ht="13.9" customHeight="1" x14ac:dyDescent="0.3">
      <c r="A44" s="41"/>
      <c r="B44" s="62"/>
      <c r="C44" s="148"/>
      <c r="D44" s="15"/>
      <c r="E44" s="36"/>
      <c r="F44" s="48"/>
      <c r="G44" s="48"/>
      <c r="I44" t="b">
        <v>0</v>
      </c>
    </row>
    <row r="45" spans="1:12" ht="13.9" customHeight="1" x14ac:dyDescent="0.3">
      <c r="A45" s="41"/>
      <c r="B45" s="62"/>
      <c r="C45" s="148"/>
      <c r="D45" s="15"/>
      <c r="E45" s="36"/>
      <c r="F45" s="48"/>
      <c r="G45" s="48"/>
      <c r="I45" t="b">
        <v>0</v>
      </c>
    </row>
    <row r="46" spans="1:12" ht="13.9" customHeight="1" x14ac:dyDescent="0.3">
      <c r="A46" s="41"/>
      <c r="B46" s="62"/>
      <c r="C46" s="148"/>
      <c r="D46" s="15"/>
      <c r="E46" s="36"/>
      <c r="F46" s="48"/>
      <c r="G46" s="48"/>
      <c r="I46" t="b">
        <v>0</v>
      </c>
    </row>
    <row r="47" spans="1:12" x14ac:dyDescent="0.3">
      <c r="A47" s="41"/>
      <c r="B47" s="36"/>
      <c r="C47" s="36"/>
      <c r="D47" s="36"/>
      <c r="E47" s="36"/>
      <c r="F47" s="48"/>
      <c r="G47" s="48"/>
    </row>
    <row r="48" spans="1:12" ht="15.5" x14ac:dyDescent="0.35">
      <c r="A48" s="42"/>
      <c r="B48" s="149" t="s">
        <v>115</v>
      </c>
      <c r="C48" s="36"/>
      <c r="D48" s="36"/>
      <c r="E48" s="36"/>
      <c r="F48" s="48"/>
      <c r="G48" s="48"/>
    </row>
    <row r="49" spans="1:10" ht="38" x14ac:dyDescent="0.3">
      <c r="A49" s="41">
        <v>6</v>
      </c>
      <c r="B49" s="174" t="s">
        <v>293</v>
      </c>
      <c r="C49" s="148"/>
      <c r="D49" s="13" t="str">
        <f>IF(C49="","",IF(C49="Inte aktuellt","",IF(C49&gt;4,"Grön",IF(C49&lt;3,"Röd","Gul"))))</f>
        <v/>
      </c>
      <c r="E49" s="36"/>
      <c r="F49" s="48"/>
      <c r="G49" s="48"/>
    </row>
    <row r="50" spans="1:10" ht="43.9" customHeight="1" x14ac:dyDescent="0.3">
      <c r="A50" s="41">
        <v>7</v>
      </c>
      <c r="B50" s="62" t="s">
        <v>27</v>
      </c>
      <c r="C50" s="148"/>
      <c r="D50" s="13" t="str">
        <f t="shared" ref="D50:D53" si="2">IF(C50="","",IF(C50="Inte aktuellt","",IF(C50&gt;4,"Grön",IF(C50&lt;3,"Röd","Gul"))))</f>
        <v/>
      </c>
      <c r="E50" s="36"/>
      <c r="F50" s="48"/>
      <c r="G50" s="48"/>
      <c r="H50" t="s">
        <v>240</v>
      </c>
      <c r="I50">
        <f>COUNTIF(C49:C53,"")</f>
        <v>5</v>
      </c>
      <c r="J50" t="str">
        <f>IF(I50=5,"Ja","Nej")</f>
        <v>Ja</v>
      </c>
    </row>
    <row r="51" spans="1:10" ht="43.15" customHeight="1" x14ac:dyDescent="0.3">
      <c r="A51" s="41">
        <v>8</v>
      </c>
      <c r="B51" s="155" t="s">
        <v>28</v>
      </c>
      <c r="C51" s="148"/>
      <c r="D51" s="13" t="str">
        <f t="shared" si="2"/>
        <v/>
      </c>
      <c r="E51" s="36"/>
      <c r="F51" s="48"/>
      <c r="G51" s="48"/>
      <c r="H51" t="s">
        <v>43</v>
      </c>
      <c r="I51">
        <f>5*4-4*COUNTIF(C49:C53,"Inte aktuellt")</f>
        <v>20</v>
      </c>
    </row>
    <row r="52" spans="1:10" ht="26" x14ac:dyDescent="0.3">
      <c r="A52" s="41">
        <v>9</v>
      </c>
      <c r="B52" s="174" t="s">
        <v>29</v>
      </c>
      <c r="C52" s="148"/>
      <c r="D52" s="13" t="str">
        <f t="shared" si="2"/>
        <v/>
      </c>
      <c r="E52" s="36"/>
      <c r="F52" s="48"/>
      <c r="G52" s="48"/>
      <c r="H52" t="s">
        <v>120</v>
      </c>
      <c r="I52">
        <f>SUM(C49:C53)-I51/4</f>
        <v>-5</v>
      </c>
      <c r="J52" s="171"/>
    </row>
    <row r="53" spans="1:10" s="171" customFormat="1" ht="38.5" x14ac:dyDescent="0.3">
      <c r="A53" s="41">
        <v>10</v>
      </c>
      <c r="B53" s="82" t="s">
        <v>435</v>
      </c>
      <c r="C53" s="148"/>
      <c r="D53" s="80" t="str">
        <f t="shared" si="2"/>
        <v/>
      </c>
      <c r="E53" s="169"/>
      <c r="F53" s="170"/>
      <c r="G53" s="170"/>
      <c r="H53" t="s">
        <v>121</v>
      </c>
      <c r="I53">
        <f>I52/I51</f>
        <v>-0.25</v>
      </c>
      <c r="J53" s="15" t="str">
        <f>IF(I53&gt;Tabeller!$D$149,"Grön",IF(I53&lt;Tabeller!$C$149,"Röd","Gul"))</f>
        <v>Röd</v>
      </c>
    </row>
    <row r="54" spans="1:10" s="171" customFormat="1" x14ac:dyDescent="0.3">
      <c r="A54" s="41"/>
      <c r="B54" s="36"/>
      <c r="C54" s="36"/>
      <c r="D54" s="36"/>
      <c r="E54" s="169"/>
      <c r="F54" s="170"/>
      <c r="G54" s="170"/>
    </row>
    <row r="55" spans="1:10" ht="15.5" x14ac:dyDescent="0.35">
      <c r="A55" s="41"/>
      <c r="B55" s="149" t="s">
        <v>30</v>
      </c>
      <c r="C55" s="36"/>
      <c r="D55" s="36"/>
      <c r="E55" s="36"/>
      <c r="F55" s="48"/>
      <c r="G55" s="48"/>
    </row>
    <row r="56" spans="1:10" ht="26.5" customHeight="1" x14ac:dyDescent="0.3">
      <c r="A56" s="153">
        <v>11</v>
      </c>
      <c r="B56" s="174" t="s">
        <v>297</v>
      </c>
      <c r="C56" s="148"/>
      <c r="D56" s="80" t="str">
        <f t="shared" ref="D56:D58" si="3">IF(C56="","",IF(C56="Inte aktuellt","",IF(C56&gt;4,"Grön",IF(C56&lt;3,"Röd","Gul"))))</f>
        <v/>
      </c>
      <c r="E56" s="36"/>
      <c r="F56" s="48"/>
      <c r="G56" s="48"/>
      <c r="H56" t="s">
        <v>240</v>
      </c>
      <c r="I56">
        <f>COUNTIF(C56:C58,"")</f>
        <v>3</v>
      </c>
      <c r="J56" t="str">
        <f>IF(I56=3,"Ja","Nej")</f>
        <v>Ja</v>
      </c>
    </row>
    <row r="57" spans="1:10" ht="26.5" customHeight="1" x14ac:dyDescent="0.3">
      <c r="A57" s="151">
        <v>12</v>
      </c>
      <c r="B57" s="175" t="s">
        <v>32</v>
      </c>
      <c r="C57" s="148"/>
      <c r="D57" s="80" t="str">
        <f t="shared" si="3"/>
        <v/>
      </c>
      <c r="E57" s="36"/>
      <c r="F57" s="48"/>
      <c r="G57" s="48"/>
      <c r="H57" t="s">
        <v>43</v>
      </c>
      <c r="I57">
        <f>3*4-4*COUNTIF(C56:C58,"Inte aktuellt")</f>
        <v>12</v>
      </c>
    </row>
    <row r="58" spans="1:10" ht="31.15" customHeight="1" x14ac:dyDescent="0.3">
      <c r="A58" s="152">
        <v>13</v>
      </c>
      <c r="B58" s="65" t="s">
        <v>33</v>
      </c>
      <c r="C58" s="148"/>
      <c r="D58" s="80" t="str">
        <f t="shared" si="3"/>
        <v/>
      </c>
      <c r="E58" s="36"/>
      <c r="F58" s="48"/>
      <c r="G58" s="48"/>
      <c r="H58" t="s">
        <v>120</v>
      </c>
      <c r="I58">
        <f>SUM(C56:C58)-I57/4</f>
        <v>-3</v>
      </c>
    </row>
    <row r="59" spans="1:10" x14ac:dyDescent="0.3">
      <c r="A59" s="61"/>
      <c r="B59" s="36"/>
      <c r="C59" s="36"/>
      <c r="D59" s="36"/>
      <c r="E59" s="36"/>
      <c r="F59" s="48"/>
      <c r="G59" s="48"/>
      <c r="H59" t="s">
        <v>121</v>
      </c>
      <c r="I59" s="86">
        <f>I58/I57</f>
        <v>-0.25</v>
      </c>
      <c r="J59" s="15" t="str">
        <f>IF(I59&gt;Tabeller!$D$149,"Grön",IF(I59&lt;Tabeller!$C$149,"Röd","Gul"))</f>
        <v>Röd</v>
      </c>
    </row>
    <row r="60" spans="1:10" ht="15.5" x14ac:dyDescent="0.35">
      <c r="A60" s="61"/>
      <c r="B60" s="149" t="s">
        <v>31</v>
      </c>
      <c r="C60" s="36"/>
      <c r="D60" s="36"/>
      <c r="E60" s="36"/>
      <c r="F60" s="48"/>
      <c r="G60" s="48"/>
    </row>
    <row r="61" spans="1:10" ht="26.5" customHeight="1" x14ac:dyDescent="0.3">
      <c r="A61" s="153">
        <v>14</v>
      </c>
      <c r="B61" s="175" t="s">
        <v>34</v>
      </c>
      <c r="C61" s="148"/>
      <c r="D61" s="80" t="str">
        <f t="shared" ref="D61:D65" si="4">IF(C61="","",IF(C61="Inte aktuellt","",IF(C61&gt;4,"Grön",IF(C61&lt;3,"Röd","Gul"))))</f>
        <v/>
      </c>
      <c r="E61" s="36"/>
      <c r="F61" s="48"/>
      <c r="G61" s="48"/>
      <c r="H61" t="s">
        <v>240</v>
      </c>
      <c r="I61">
        <f>COUNTIF(C61:C65,"")</f>
        <v>5</v>
      </c>
      <c r="J61" t="str">
        <f>IF(I61=5,"Ja","Nej")</f>
        <v>Ja</v>
      </c>
    </row>
    <row r="62" spans="1:10" ht="26" x14ac:dyDescent="0.3">
      <c r="A62" s="151">
        <v>15</v>
      </c>
      <c r="B62" s="175" t="s">
        <v>298</v>
      </c>
      <c r="C62" s="148"/>
      <c r="D62" s="80" t="str">
        <f t="shared" si="4"/>
        <v/>
      </c>
      <c r="E62" s="36"/>
      <c r="F62" s="48"/>
      <c r="G62" s="48"/>
      <c r="H62" t="s">
        <v>43</v>
      </c>
      <c r="I62">
        <f>5*4-4*COUNTIF(C61:C65,"Inte aktuellt")</f>
        <v>20</v>
      </c>
    </row>
    <row r="63" spans="1:10" ht="63.5" x14ac:dyDescent="0.3">
      <c r="A63" s="151">
        <v>16</v>
      </c>
      <c r="B63" s="175" t="s">
        <v>299</v>
      </c>
      <c r="C63" s="148"/>
      <c r="D63" s="80" t="str">
        <f t="shared" si="4"/>
        <v/>
      </c>
      <c r="E63" s="36"/>
      <c r="F63" s="48"/>
      <c r="G63" s="48"/>
      <c r="H63" t="s">
        <v>120</v>
      </c>
      <c r="I63">
        <f>SUM(C61:C65)-I62/4</f>
        <v>-5</v>
      </c>
    </row>
    <row r="64" spans="1:10" ht="25.5" x14ac:dyDescent="0.3">
      <c r="A64" s="151">
        <v>17</v>
      </c>
      <c r="B64" s="175" t="s">
        <v>35</v>
      </c>
      <c r="C64" s="148"/>
      <c r="D64" s="80" t="str">
        <f t="shared" si="4"/>
        <v/>
      </c>
      <c r="E64" s="36"/>
      <c r="F64" s="48"/>
      <c r="G64" s="48"/>
      <c r="H64" t="s">
        <v>121</v>
      </c>
      <c r="I64" s="86">
        <f>I63/I62</f>
        <v>-0.25</v>
      </c>
      <c r="J64" s="15" t="str">
        <f>IF(I64&gt;Tabeller!$D$149,"Grön",IF(I64&lt;Tabeller!$C$149,"Röd","Gul"))</f>
        <v>Röd</v>
      </c>
    </row>
    <row r="65" spans="1:10" ht="25.5" x14ac:dyDescent="0.3">
      <c r="A65" s="152">
        <v>18</v>
      </c>
      <c r="B65" s="82" t="s">
        <v>294</v>
      </c>
      <c r="C65" s="148"/>
      <c r="D65" s="80" t="str">
        <f t="shared" si="4"/>
        <v/>
      </c>
      <c r="E65" s="36"/>
      <c r="F65" s="48"/>
      <c r="G65" s="48"/>
    </row>
    <row r="66" spans="1:10" x14ac:dyDescent="0.3">
      <c r="A66" s="61"/>
      <c r="B66" s="36"/>
      <c r="C66" s="36"/>
      <c r="D66" s="36"/>
      <c r="E66" s="36"/>
      <c r="F66" s="48"/>
      <c r="G66" s="48"/>
    </row>
    <row r="67" spans="1:10" ht="15.5" x14ac:dyDescent="0.35">
      <c r="A67" s="61"/>
      <c r="B67" s="149" t="s">
        <v>123</v>
      </c>
      <c r="C67" s="36"/>
      <c r="D67" s="36"/>
      <c r="E67" s="36"/>
      <c r="F67" s="48"/>
      <c r="G67" s="48"/>
      <c r="H67" t="s">
        <v>240</v>
      </c>
      <c r="I67">
        <f>COUNTIF(C69:C72,"")</f>
        <v>4</v>
      </c>
      <c r="J67" t="str">
        <f>IF(I67=4,"Ja","Nej")</f>
        <v>Ja</v>
      </c>
    </row>
    <row r="68" spans="1:10" x14ac:dyDescent="0.3">
      <c r="A68" s="150"/>
      <c r="B68" s="35" t="s">
        <v>36</v>
      </c>
      <c r="C68" s="35"/>
      <c r="D68" s="29"/>
      <c r="E68" s="36"/>
      <c r="F68" s="48"/>
      <c r="G68" s="48"/>
      <c r="H68" t="s">
        <v>43</v>
      </c>
      <c r="I68">
        <f>4-COUNTIF(C69:C72,"Inte aktuellt")</f>
        <v>4</v>
      </c>
    </row>
    <row r="69" spans="1:10" ht="23" x14ac:dyDescent="0.3">
      <c r="A69" s="151">
        <v>19</v>
      </c>
      <c r="B69" s="66" t="s">
        <v>295</v>
      </c>
      <c r="C69" s="148"/>
      <c r="D69" s="80" t="str">
        <f>IF(C69="","",IF(C69="Inte aktuellt","",IF(C69="Ja","Grön","Röd")))</f>
        <v/>
      </c>
      <c r="E69" s="36"/>
      <c r="F69" s="48"/>
      <c r="G69" s="48"/>
      <c r="H69" t="s">
        <v>120</v>
      </c>
      <c r="I69">
        <f>COUNTIF(C69:C72,"Ja")</f>
        <v>0</v>
      </c>
    </row>
    <row r="70" spans="1:10" x14ac:dyDescent="0.3">
      <c r="A70" s="151">
        <v>20</v>
      </c>
      <c r="B70" s="176" t="s">
        <v>131</v>
      </c>
      <c r="C70" s="148"/>
      <c r="D70" s="80" t="str">
        <f>IF(C70="","",IF(C70="Inte aktuellt","",IF(C70="Ja","Grön","Röd")))</f>
        <v/>
      </c>
      <c r="E70" s="36"/>
      <c r="F70" s="48"/>
      <c r="G70" s="48"/>
      <c r="H70" t="s">
        <v>121</v>
      </c>
      <c r="I70" s="86">
        <f>I69/I68</f>
        <v>0</v>
      </c>
      <c r="J70" s="15" t="str">
        <f>IF(I70&gt;Tabeller!$D$149,"Grön",IF(I70&lt;Tabeller!$C$149,"Röd","Gul"))</f>
        <v>Röd</v>
      </c>
    </row>
    <row r="71" spans="1:10" x14ac:dyDescent="0.3">
      <c r="A71" s="151">
        <v>21</v>
      </c>
      <c r="B71" s="176" t="s">
        <v>296</v>
      </c>
      <c r="C71" s="148"/>
      <c r="D71" s="80" t="str">
        <f t="shared" ref="D71:D72" si="5">IF(C71="","",IF(C71="Inte aktuellt","",IF(C71="Ja","Grön","Röd")))</f>
        <v/>
      </c>
      <c r="E71" s="36"/>
      <c r="F71" s="48"/>
      <c r="G71" s="48"/>
    </row>
    <row r="72" spans="1:10" x14ac:dyDescent="0.3">
      <c r="A72" s="152">
        <v>22</v>
      </c>
      <c r="B72" s="66" t="s">
        <v>114</v>
      </c>
      <c r="C72" s="148"/>
      <c r="D72" s="80" t="str">
        <f t="shared" si="5"/>
        <v/>
      </c>
      <c r="E72" s="36"/>
      <c r="F72" s="48"/>
      <c r="G72" s="48"/>
    </row>
    <row r="73" spans="1:10" x14ac:dyDescent="0.3">
      <c r="A73" s="61"/>
      <c r="B73" s="60"/>
      <c r="C73" s="36"/>
      <c r="D73" s="15"/>
      <c r="E73" s="36"/>
      <c r="F73" s="48"/>
      <c r="G73" s="48"/>
    </row>
    <row r="74" spans="1:10" x14ac:dyDescent="0.3">
      <c r="A74" s="61"/>
      <c r="B74" s="60"/>
      <c r="C74" s="166" t="s">
        <v>245</v>
      </c>
      <c r="D74" s="15"/>
      <c r="E74" s="36"/>
      <c r="F74" s="48"/>
      <c r="G74" s="48"/>
    </row>
    <row r="75" spans="1:10" x14ac:dyDescent="0.3">
      <c r="A75" s="61"/>
      <c r="B75" s="60"/>
      <c r="C75" s="166" t="s">
        <v>243</v>
      </c>
      <c r="D75" s="15"/>
      <c r="E75" s="36"/>
      <c r="F75" s="48"/>
      <c r="G75" s="48"/>
    </row>
    <row r="76" spans="1:10" x14ac:dyDescent="0.3">
      <c r="A76" s="61"/>
      <c r="B76" s="36"/>
      <c r="C76" s="36"/>
      <c r="D76" s="15"/>
      <c r="E76" s="36"/>
      <c r="F76" s="48"/>
      <c r="G76" s="48"/>
      <c r="H76" t="s">
        <v>125</v>
      </c>
      <c r="I76" s="86" t="e">
        <f>(AVERAGE(#REF!,I53,I59,I64,I70))</f>
        <v>#REF!</v>
      </c>
    </row>
    <row r="77" spans="1:10" hidden="1" x14ac:dyDescent="0.3">
      <c r="A77" s="28"/>
      <c r="B77" s="28"/>
      <c r="C77" s="36"/>
      <c r="D77" s="15"/>
      <c r="E77" s="36"/>
      <c r="F77" s="49"/>
      <c r="G77" s="49"/>
    </row>
    <row r="78" spans="1:10" hidden="1" x14ac:dyDescent="0.3">
      <c r="A78" s="28"/>
      <c r="B78" s="28"/>
      <c r="C78" s="36"/>
      <c r="D78" s="15"/>
      <c r="E78" s="36"/>
      <c r="F78" s="49"/>
      <c r="G78" s="49"/>
    </row>
    <row r="79" spans="1:10" hidden="1" x14ac:dyDescent="0.3">
      <c r="A79" s="28"/>
      <c r="B79" s="28"/>
      <c r="C79" s="36"/>
      <c r="D79" s="15"/>
      <c r="E79" s="36"/>
      <c r="F79" s="49"/>
      <c r="G79" s="49"/>
    </row>
    <row r="80" spans="1:10" hidden="1" x14ac:dyDescent="0.3">
      <c r="A80" s="28"/>
      <c r="B80" s="28"/>
      <c r="C80" s="36"/>
      <c r="D80" s="15"/>
      <c r="E80" s="36"/>
      <c r="F80" s="49"/>
      <c r="G80" s="49"/>
    </row>
    <row r="81" spans="1:7" hidden="1" x14ac:dyDescent="0.3">
      <c r="A81" s="28"/>
      <c r="B81" s="28"/>
      <c r="C81" s="36"/>
      <c r="D81" s="15"/>
      <c r="E81" s="36"/>
      <c r="F81" s="49"/>
      <c r="G81" s="49"/>
    </row>
    <row r="82" spans="1:7" hidden="1" x14ac:dyDescent="0.3">
      <c r="A82" s="28"/>
      <c r="B82" s="28"/>
      <c r="C82" s="36"/>
      <c r="D82" s="15"/>
      <c r="E82" s="36"/>
      <c r="F82" s="49"/>
      <c r="G82" s="49"/>
    </row>
    <row r="83" spans="1:7" hidden="1" x14ac:dyDescent="0.3">
      <c r="A83" s="28"/>
      <c r="B83" s="28"/>
      <c r="C83" s="36"/>
      <c r="D83" s="15"/>
      <c r="E83" s="36"/>
      <c r="F83" s="49"/>
      <c r="G83" s="49"/>
    </row>
    <row r="84" spans="1:7" hidden="1" x14ac:dyDescent="0.3">
      <c r="A84" s="61"/>
      <c r="B84" s="36"/>
      <c r="C84" s="36"/>
      <c r="D84" s="15"/>
      <c r="E84" s="36"/>
      <c r="F84" s="48"/>
      <c r="G84" s="48"/>
    </row>
    <row r="85" spans="1:7" hidden="1" x14ac:dyDescent="0.3">
      <c r="A85" s="28"/>
      <c r="B85" s="61"/>
      <c r="C85" s="36"/>
      <c r="D85" s="15"/>
      <c r="E85" s="36"/>
      <c r="F85" s="48"/>
      <c r="G85" s="48"/>
    </row>
    <row r="86" spans="1:7" hidden="1" x14ac:dyDescent="0.3">
      <c r="A86" s="28"/>
      <c r="B86" s="61"/>
      <c r="C86" s="36"/>
      <c r="D86" s="15"/>
      <c r="E86" s="36"/>
      <c r="F86" s="48"/>
      <c r="G86" s="48"/>
    </row>
    <row r="87" spans="1:7" hidden="1" x14ac:dyDescent="0.3">
      <c r="A87" s="28"/>
      <c r="B87" s="61"/>
      <c r="C87" s="36"/>
      <c r="D87" s="15"/>
      <c r="E87" s="36"/>
      <c r="F87" s="48"/>
      <c r="G87" s="48"/>
    </row>
    <row r="88" spans="1:7" hidden="1" x14ac:dyDescent="0.3">
      <c r="A88" s="61"/>
      <c r="B88" s="36"/>
      <c r="C88" s="36"/>
      <c r="D88" s="15"/>
      <c r="E88" s="36"/>
      <c r="F88" s="48"/>
      <c r="G88" s="48"/>
    </row>
    <row r="89" spans="1:7" hidden="1" x14ac:dyDescent="0.3">
      <c r="A89" s="28"/>
      <c r="B89" s="28"/>
      <c r="C89" s="36"/>
      <c r="D89" s="15"/>
      <c r="E89" s="36"/>
      <c r="F89" s="49"/>
      <c r="G89" s="49"/>
    </row>
    <row r="90" spans="1:7" hidden="1" x14ac:dyDescent="0.3">
      <c r="A90" s="28"/>
      <c r="B90" s="28"/>
      <c r="C90" s="36"/>
      <c r="D90" s="15"/>
      <c r="E90" s="36"/>
      <c r="F90" s="49"/>
      <c r="G90" s="49"/>
    </row>
    <row r="91" spans="1:7" hidden="1" x14ac:dyDescent="0.3">
      <c r="A91" s="28"/>
      <c r="B91" s="28"/>
      <c r="C91" s="36"/>
      <c r="D91" s="15"/>
      <c r="E91" s="36"/>
      <c r="F91" s="49"/>
      <c r="G91" s="49"/>
    </row>
    <row r="92" spans="1:7" hidden="1" x14ac:dyDescent="0.3">
      <c r="A92" s="28"/>
      <c r="B92" s="28"/>
      <c r="C92" s="36"/>
      <c r="D92" s="15"/>
      <c r="E92" s="36"/>
      <c r="F92" s="49"/>
      <c r="G92" s="49"/>
    </row>
    <row r="93" spans="1:7" hidden="1" x14ac:dyDescent="0.3">
      <c r="A93" s="61"/>
      <c r="B93" s="36"/>
      <c r="C93" s="36"/>
      <c r="D93" s="15"/>
      <c r="E93" s="36"/>
      <c r="F93" s="48"/>
      <c r="G93" s="48"/>
    </row>
    <row r="94" spans="1:7" hidden="1" x14ac:dyDescent="0.3">
      <c r="A94" s="28"/>
      <c r="B94" s="61"/>
      <c r="C94" s="36"/>
      <c r="D94" s="15"/>
      <c r="E94" s="36"/>
      <c r="F94" s="49"/>
      <c r="G94" s="48"/>
    </row>
    <row r="95" spans="1:7" hidden="1" x14ac:dyDescent="0.3">
      <c r="A95" s="28"/>
      <c r="B95" s="61"/>
      <c r="C95" s="36"/>
      <c r="D95" s="15"/>
      <c r="E95" s="36"/>
      <c r="F95" s="49"/>
      <c r="G95" s="48"/>
    </row>
    <row r="96" spans="1:7" hidden="1" x14ac:dyDescent="0.3">
      <c r="A96" s="28"/>
      <c r="B96" s="61"/>
      <c r="C96" s="36"/>
      <c r="D96" s="15"/>
      <c r="E96" s="36"/>
      <c r="F96" s="49"/>
      <c r="G96" s="48"/>
    </row>
    <row r="97" spans="1:7" hidden="1" x14ac:dyDescent="0.3">
      <c r="A97" s="63"/>
      <c r="B97" s="37"/>
      <c r="C97" s="36"/>
      <c r="D97" s="15"/>
      <c r="E97" s="36"/>
      <c r="F97" s="48"/>
      <c r="G97" s="48"/>
    </row>
    <row r="98" spans="1:7" hidden="1" x14ac:dyDescent="0.3">
      <c r="A98" s="68"/>
      <c r="B98" s="48"/>
      <c r="C98" s="48"/>
      <c r="D98" s="48"/>
      <c r="E98" s="48"/>
      <c r="F98" s="48"/>
      <c r="G98" s="48"/>
    </row>
    <row r="99" spans="1:7" ht="14.5" x14ac:dyDescent="0.35">
      <c r="A99" s="68"/>
      <c r="B99" s="69"/>
      <c r="C99" s="48"/>
      <c r="D99" s="48"/>
      <c r="E99" s="48"/>
      <c r="F99" s="48"/>
      <c r="G99" s="48"/>
    </row>
    <row r="100" spans="1:7" x14ac:dyDescent="0.3">
      <c r="A100" s="68"/>
      <c r="B100" s="48"/>
      <c r="C100" s="48"/>
      <c r="D100" s="48"/>
      <c r="E100" s="48"/>
      <c r="F100" s="48"/>
      <c r="G100" s="48"/>
    </row>
    <row r="101" spans="1:7" x14ac:dyDescent="0.3">
      <c r="A101" s="68"/>
      <c r="B101" s="48"/>
      <c r="C101" s="48"/>
      <c r="D101" s="48"/>
      <c r="E101" s="48"/>
      <c r="F101" s="48"/>
      <c r="G101" s="48"/>
    </row>
  </sheetData>
  <conditionalFormatting sqref="D69:D75 D6">
    <cfRule type="containsText" dxfId="143" priority="103" operator="containsText" text="Grön">
      <formula>NOT(ISERROR(SEARCH("Grön",D6)))</formula>
    </cfRule>
    <cfRule type="containsText" dxfId="142" priority="104" operator="containsText" text="Röd">
      <formula>NOT(ISERROR(SEARCH("Röd",D6)))</formula>
    </cfRule>
    <cfRule type="cellIs" dxfId="141" priority="108" operator="equal">
      <formula>"""Gul"""</formula>
    </cfRule>
  </conditionalFormatting>
  <conditionalFormatting sqref="D69:D75 D6">
    <cfRule type="containsText" dxfId="140" priority="105" operator="containsText" text="Grön">
      <formula>NOT(ISERROR(SEARCH("Grön",D6)))</formula>
    </cfRule>
    <cfRule type="containsText" dxfId="139" priority="106" operator="containsText" text="Röd">
      <formula>NOT(ISERROR(SEARCH("Röd",D6)))</formula>
    </cfRule>
    <cfRule type="containsText" dxfId="138" priority="107" operator="containsText" text="Gul">
      <formula>NOT(ISERROR(SEARCH("Gul",D6)))</formula>
    </cfRule>
  </conditionalFormatting>
  <conditionalFormatting sqref="D49:D53">
    <cfRule type="containsText" dxfId="137" priority="97" operator="containsText" text="Grön">
      <formula>NOT(ISERROR(SEARCH("Grön",D49)))</formula>
    </cfRule>
    <cfRule type="containsText" dxfId="136" priority="98" operator="containsText" text="Röd">
      <formula>NOT(ISERROR(SEARCH("Röd",D49)))</formula>
    </cfRule>
    <cfRule type="cellIs" dxfId="135" priority="102" operator="equal">
      <formula>"""Gul"""</formula>
    </cfRule>
  </conditionalFormatting>
  <conditionalFormatting sqref="D49:D53">
    <cfRule type="containsText" dxfId="134" priority="99" operator="containsText" text="Grön">
      <formula>NOT(ISERROR(SEARCH("Grön",D49)))</formula>
    </cfRule>
    <cfRule type="containsText" dxfId="133" priority="100" operator="containsText" text="Röd">
      <formula>NOT(ISERROR(SEARCH("Röd",D49)))</formula>
    </cfRule>
    <cfRule type="containsText" dxfId="132" priority="101" operator="containsText" text="Gul">
      <formula>NOT(ISERROR(SEARCH("Gul",D49)))</formula>
    </cfRule>
  </conditionalFormatting>
  <conditionalFormatting sqref="J64">
    <cfRule type="containsText" dxfId="131" priority="55" operator="containsText" text="Grön">
      <formula>NOT(ISERROR(SEARCH("Grön",J64)))</formula>
    </cfRule>
    <cfRule type="containsText" dxfId="130" priority="56" operator="containsText" text="Röd">
      <formula>NOT(ISERROR(SEARCH("Röd",J64)))</formula>
    </cfRule>
    <cfRule type="cellIs" dxfId="129" priority="60" operator="equal">
      <formula>"""Gul"""</formula>
    </cfRule>
  </conditionalFormatting>
  <conditionalFormatting sqref="J64">
    <cfRule type="containsText" dxfId="128" priority="57" operator="containsText" text="Grön">
      <formula>NOT(ISERROR(SEARCH("Grön",J64)))</formula>
    </cfRule>
    <cfRule type="containsText" dxfId="127" priority="58" operator="containsText" text="Röd">
      <formula>NOT(ISERROR(SEARCH("Röd",J64)))</formula>
    </cfRule>
    <cfRule type="containsText" dxfId="126" priority="59" operator="containsText" text="Gul">
      <formula>NOT(ISERROR(SEARCH("Gul",J64)))</formula>
    </cfRule>
  </conditionalFormatting>
  <conditionalFormatting sqref="J59">
    <cfRule type="containsText" dxfId="125" priority="61" operator="containsText" text="Grön">
      <formula>NOT(ISERROR(SEARCH("Grön",J59)))</formula>
    </cfRule>
    <cfRule type="containsText" dxfId="124" priority="62" operator="containsText" text="Röd">
      <formula>NOT(ISERROR(SEARCH("Röd",J59)))</formula>
    </cfRule>
    <cfRule type="cellIs" dxfId="123" priority="66" operator="equal">
      <formula>"""Gul"""</formula>
    </cfRule>
  </conditionalFormatting>
  <conditionalFormatting sqref="J59">
    <cfRule type="containsText" dxfId="122" priority="63" operator="containsText" text="Grön">
      <formula>NOT(ISERROR(SEARCH("Grön",J59)))</formula>
    </cfRule>
    <cfRule type="containsText" dxfId="121" priority="64" operator="containsText" text="Röd">
      <formula>NOT(ISERROR(SEARCH("Röd",J59)))</formula>
    </cfRule>
    <cfRule type="containsText" dxfId="120" priority="65" operator="containsText" text="Gul">
      <formula>NOT(ISERROR(SEARCH("Gul",J59)))</formula>
    </cfRule>
  </conditionalFormatting>
  <conditionalFormatting sqref="J70">
    <cfRule type="containsText" dxfId="119" priority="49" operator="containsText" text="Grön">
      <formula>NOT(ISERROR(SEARCH("Grön",J70)))</formula>
    </cfRule>
    <cfRule type="containsText" dxfId="118" priority="50" operator="containsText" text="Röd">
      <formula>NOT(ISERROR(SEARCH("Röd",J70)))</formula>
    </cfRule>
    <cfRule type="cellIs" dxfId="117" priority="54" operator="equal">
      <formula>"""Gul"""</formula>
    </cfRule>
  </conditionalFormatting>
  <conditionalFormatting sqref="J70">
    <cfRule type="containsText" dxfId="116" priority="51" operator="containsText" text="Grön">
      <formula>NOT(ISERROR(SEARCH("Grön",J70)))</formula>
    </cfRule>
    <cfRule type="containsText" dxfId="115" priority="52" operator="containsText" text="Röd">
      <formula>NOT(ISERROR(SEARCH("Röd",J70)))</formula>
    </cfRule>
    <cfRule type="containsText" dxfId="114" priority="53" operator="containsText" text="Gul">
      <formula>NOT(ISERROR(SEARCH("Gul",J70)))</formula>
    </cfRule>
  </conditionalFormatting>
  <conditionalFormatting sqref="D76:D97">
    <cfRule type="containsText" dxfId="113" priority="43" operator="containsText" text="Grön">
      <formula>NOT(ISERROR(SEARCH("Grön",D76)))</formula>
    </cfRule>
    <cfRule type="containsText" dxfId="112" priority="44" operator="containsText" text="Röd">
      <formula>NOT(ISERROR(SEARCH("Röd",D76)))</formula>
    </cfRule>
    <cfRule type="cellIs" dxfId="111" priority="48" operator="equal">
      <formula>"""Gul"""</formula>
    </cfRule>
  </conditionalFormatting>
  <conditionalFormatting sqref="D76:D97">
    <cfRule type="containsText" dxfId="110" priority="45" operator="containsText" text="Grön">
      <formula>NOT(ISERROR(SEARCH("Grön",D76)))</formula>
    </cfRule>
    <cfRule type="containsText" dxfId="109" priority="46" operator="containsText" text="Röd">
      <formula>NOT(ISERROR(SEARCH("Röd",D76)))</formula>
    </cfRule>
    <cfRule type="containsText" dxfId="108" priority="47" operator="containsText" text="Gul">
      <formula>NOT(ISERROR(SEARCH("Gul",D76)))</formula>
    </cfRule>
  </conditionalFormatting>
  <conditionalFormatting sqref="D56:D58">
    <cfRule type="containsText" dxfId="107" priority="37" operator="containsText" text="Grön">
      <formula>NOT(ISERROR(SEARCH("Grön",D56)))</formula>
    </cfRule>
    <cfRule type="containsText" dxfId="106" priority="38" operator="containsText" text="Röd">
      <formula>NOT(ISERROR(SEARCH("Röd",D56)))</formula>
    </cfRule>
    <cfRule type="cellIs" dxfId="105" priority="42" operator="equal">
      <formula>"""Gul"""</formula>
    </cfRule>
  </conditionalFormatting>
  <conditionalFormatting sqref="D56:D58">
    <cfRule type="containsText" dxfId="104" priority="39" operator="containsText" text="Grön">
      <formula>NOT(ISERROR(SEARCH("Grön",D56)))</formula>
    </cfRule>
    <cfRule type="containsText" dxfId="103" priority="40" operator="containsText" text="Röd">
      <formula>NOT(ISERROR(SEARCH("Röd",D56)))</formula>
    </cfRule>
    <cfRule type="containsText" dxfId="102" priority="41" operator="containsText" text="Gul">
      <formula>NOT(ISERROR(SEARCH("Gul",D56)))</formula>
    </cfRule>
  </conditionalFormatting>
  <conditionalFormatting sqref="D61:D65">
    <cfRule type="containsText" dxfId="101" priority="31" operator="containsText" text="Grön">
      <formula>NOT(ISERROR(SEARCH("Grön",D61)))</formula>
    </cfRule>
    <cfRule type="containsText" dxfId="100" priority="32" operator="containsText" text="Röd">
      <formula>NOT(ISERROR(SEARCH("Röd",D61)))</formula>
    </cfRule>
    <cfRule type="cellIs" dxfId="99" priority="36" operator="equal">
      <formula>"""Gul"""</formula>
    </cfRule>
  </conditionalFormatting>
  <conditionalFormatting sqref="D61:D65">
    <cfRule type="containsText" dxfId="98" priority="33" operator="containsText" text="Grön">
      <formula>NOT(ISERROR(SEARCH("Grön",D61)))</formula>
    </cfRule>
    <cfRule type="containsText" dxfId="97" priority="34" operator="containsText" text="Röd">
      <formula>NOT(ISERROR(SEARCH("Röd",D61)))</formula>
    </cfRule>
    <cfRule type="containsText" dxfId="96" priority="35" operator="containsText" text="Gul">
      <formula>NOT(ISERROR(SEARCH("Gul",D61)))</formula>
    </cfRule>
  </conditionalFormatting>
  <conditionalFormatting sqref="J53">
    <cfRule type="containsText" dxfId="95" priority="25" operator="containsText" text="Grön">
      <formula>NOT(ISERROR(SEARCH("Grön",J53)))</formula>
    </cfRule>
    <cfRule type="containsText" dxfId="94" priority="26" operator="containsText" text="Röd">
      <formula>NOT(ISERROR(SEARCH("Röd",J53)))</formula>
    </cfRule>
    <cfRule type="cellIs" dxfId="93" priority="30" operator="equal">
      <formula>"""Gul"""</formula>
    </cfRule>
  </conditionalFormatting>
  <conditionalFormatting sqref="J53">
    <cfRule type="containsText" dxfId="92" priority="27" operator="containsText" text="Grön">
      <formula>NOT(ISERROR(SEARCH("Grön",J53)))</formula>
    </cfRule>
    <cfRule type="containsText" dxfId="91" priority="28" operator="containsText" text="Röd">
      <formula>NOT(ISERROR(SEARCH("Röd",J53)))</formula>
    </cfRule>
    <cfRule type="containsText" dxfId="90" priority="29" operator="containsText" text="Gul">
      <formula>NOT(ISERROR(SEARCH("Gul",J53)))</formula>
    </cfRule>
  </conditionalFormatting>
  <conditionalFormatting sqref="D38:D46">
    <cfRule type="containsText" dxfId="89" priority="19" operator="containsText" text="Grön">
      <formula>NOT(ISERROR(SEARCH("Grön",D38)))</formula>
    </cfRule>
    <cfRule type="containsText" dxfId="88" priority="20" operator="containsText" text="Röd">
      <formula>NOT(ISERROR(SEARCH("Röd",D38)))</formula>
    </cfRule>
    <cfRule type="cellIs" dxfId="87" priority="24" operator="equal">
      <formula>"""Gul"""</formula>
    </cfRule>
  </conditionalFormatting>
  <conditionalFormatting sqref="D38:D46">
    <cfRule type="containsText" dxfId="86" priority="21" operator="containsText" text="Grön">
      <formula>NOT(ISERROR(SEARCH("Grön",D38)))</formula>
    </cfRule>
    <cfRule type="containsText" dxfId="85" priority="22" operator="containsText" text="Röd">
      <formula>NOT(ISERROR(SEARCH("Röd",D38)))</formula>
    </cfRule>
    <cfRule type="containsText" dxfId="84" priority="23" operator="containsText" text="Gul">
      <formula>NOT(ISERROR(SEARCH("Gul",D38)))</formula>
    </cfRule>
  </conditionalFormatting>
  <conditionalFormatting sqref="D27">
    <cfRule type="containsText" dxfId="83" priority="13" operator="containsText" text="Grön">
      <formula>NOT(ISERROR(SEARCH("Grön",D27)))</formula>
    </cfRule>
    <cfRule type="containsText" dxfId="82" priority="14" operator="containsText" text="Röd">
      <formula>NOT(ISERROR(SEARCH("Röd",D27)))</formula>
    </cfRule>
    <cfRule type="cellIs" dxfId="81" priority="18" operator="equal">
      <formula>"""Gul"""</formula>
    </cfRule>
  </conditionalFormatting>
  <conditionalFormatting sqref="D27">
    <cfRule type="containsText" dxfId="80" priority="15" operator="containsText" text="Grön">
      <formula>NOT(ISERROR(SEARCH("Grön",D27)))</formula>
    </cfRule>
    <cfRule type="containsText" dxfId="79" priority="16" operator="containsText" text="Röd">
      <formula>NOT(ISERROR(SEARCH("Röd",D27)))</formula>
    </cfRule>
    <cfRule type="containsText" dxfId="78" priority="17" operator="containsText" text="Gul">
      <formula>NOT(ISERROR(SEARCH("Gul",D27)))</formula>
    </cfRule>
  </conditionalFormatting>
  <conditionalFormatting sqref="D4">
    <cfRule type="containsText" dxfId="77" priority="1" operator="containsText" text="Grön">
      <formula>NOT(ISERROR(SEARCH("Grön",D4)))</formula>
    </cfRule>
    <cfRule type="containsText" dxfId="76" priority="2" operator="containsText" text="Röd">
      <formula>NOT(ISERROR(SEARCH("Röd",D4)))</formula>
    </cfRule>
    <cfRule type="cellIs" dxfId="75" priority="6" operator="equal">
      <formula>"""Gul"""</formula>
    </cfRule>
  </conditionalFormatting>
  <conditionalFormatting sqref="D4">
    <cfRule type="containsText" dxfId="74" priority="3" operator="containsText" text="Grön">
      <formula>NOT(ISERROR(SEARCH("Grön",D4)))</formula>
    </cfRule>
    <cfRule type="containsText" dxfId="73" priority="4" operator="containsText" text="Röd">
      <formula>NOT(ISERROR(SEARCH("Röd",D4)))</formula>
    </cfRule>
    <cfRule type="containsText" dxfId="72" priority="5" operator="containsText" text="Gul">
      <formula>NOT(ISERROR(SEARCH("Gul",D4)))</formula>
    </cfRule>
  </conditionalFormatting>
  <hyperlinks>
    <hyperlink ref="C75" location="Introduktion!A1" display="Till Introduktion" xr:uid="{0441446A-050E-4512-A7DC-44DB9FA8911D}"/>
    <hyperlink ref="C74" location="'Biologisk mångfald'!A1" display="Till Biologisk mångfald" xr:uid="{D123E06E-2F31-43A9-BFD0-6BF55A244197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5" r:id="rId4" name="Check Box 19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2</xdr:col>
                    <xdr:colOff>1670050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5" name="Check Box 23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2</xdr:col>
                    <xdr:colOff>1670050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6" name="Check Box 25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2</xdr:col>
                    <xdr:colOff>1670050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7" name="Check Box 26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2</xdr:col>
                    <xdr:colOff>1670050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8" name="Check Box 28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2</xdr:col>
                    <xdr:colOff>1670050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9" name="Check Box 29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1670050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0" name="Check Box 31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2</xdr:col>
                    <xdr:colOff>1670050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1" name="Check Box 33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2</xdr:col>
                    <xdr:colOff>1670050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2" name="Check Box 34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2</xdr:col>
                    <xdr:colOff>1670050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3" name="Check Box 35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23</xdr:row>
                    <xdr:rowOff>0</xdr:rowOff>
                  </from>
                  <to>
                    <xdr:col>2</xdr:col>
                    <xdr:colOff>1670050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4" name="Check Box 36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2</xdr:col>
                    <xdr:colOff>1670050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5" name="Check Box 37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2</xdr:col>
                    <xdr:colOff>1670050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6" name="Check Box 39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2</xdr:col>
                    <xdr:colOff>1670050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7" name="Check Box 40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2</xdr:col>
                    <xdr:colOff>2609850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8" name="Check Box 41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2</xdr:col>
                    <xdr:colOff>2419350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9" name="Check Box 42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2</xdr:col>
                    <xdr:colOff>1670050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0" name="Check Box 44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2</xdr:col>
                    <xdr:colOff>1670050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1" name="Check Box 46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2</xdr:col>
                    <xdr:colOff>2362200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2" name="Check Box 47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2</xdr:col>
                    <xdr:colOff>1670050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3" name="Check Box 48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2</xdr:col>
                    <xdr:colOff>1670050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4" name="Check Box 49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2</xdr:col>
                    <xdr:colOff>1670050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5" name="Check Box 50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2</xdr:col>
                    <xdr:colOff>2533650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6" name="Check Box 52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2</xdr:col>
                    <xdr:colOff>2533650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27" name="Check Box 53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2</xdr:col>
                    <xdr:colOff>1670050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28" name="Check Box 54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2</xdr:col>
                    <xdr:colOff>1670050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29" name="Check Box 55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2</xdr:col>
                    <xdr:colOff>1670050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0" name="Check Box 57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2</xdr:col>
                    <xdr:colOff>1670050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1" name="Check Box 58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2</xdr:col>
                    <xdr:colOff>1670050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2" name="Check Box 59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2</xdr:col>
                    <xdr:colOff>1670050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3" name="Check Box 61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45</xdr:row>
                    <xdr:rowOff>0</xdr:rowOff>
                  </from>
                  <to>
                    <xdr:col>2</xdr:col>
                    <xdr:colOff>1670050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34" name="Check Box 64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2</xdr:col>
                    <xdr:colOff>1670050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35" name="Check Box 65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2</xdr:col>
                    <xdr:colOff>1670050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36" name="Check Box 67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2</xdr:col>
                    <xdr:colOff>1670050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37" name="Check Box 68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1670050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38" name="Check Box 69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1670050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39" name="Check Box 71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1670050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0" name="Check Box 73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1670050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1" name="Check Box 75">
              <controlPr defaultSize="0" autoFill="0" autoLine="0" autoPict="0" altText="Flergånghandskar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2</xdr:col>
                    <xdr:colOff>1670050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0424449-F755-48B5-A844-C4969BB0A39C}">
          <x14:formula1>
            <xm:f>Tabeller!$A$37:$A$39</xm:f>
          </x14:formula1>
          <xm:sqref>C69:C72</xm:sqref>
        </x14:dataValidation>
        <x14:dataValidation type="list" allowBlank="1" showInputMessage="1" showErrorMessage="1" xr:uid="{E4C58B81-5151-4217-8F72-E5A6135A7AB3}">
          <x14:formula1>
            <xm:f>Tabeller!$A$47:$A$52</xm:f>
          </x14:formula1>
          <xm:sqref>C49:C53 C56:C58 C61:C65</xm:sqref>
        </x14:dataValidation>
        <x14:dataValidation type="list" allowBlank="1" showInputMessage="1" showErrorMessage="1" xr:uid="{88DD2090-542C-41A0-8371-23B67A131D2A}">
          <x14:formula1>
            <xm:f>Tabeller!$A$260:$A$268</xm:f>
          </x14:formula1>
          <xm:sqref>C5</xm:sqref>
        </x14:dataValidation>
        <x14:dataValidation type="list" allowBlank="1" showInputMessage="1" showErrorMessage="1" xr:uid="{03E0FDD3-9CD7-403E-B335-5476DC2EB6A2}">
          <x14:formula1>
            <xm:f>Tabeller!$A$260:$A$269</xm:f>
          </x14:formula1>
          <xm:sqref>C4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1"/>
  <sheetViews>
    <sheetView topLeftCell="A28" workbookViewId="0">
      <selection activeCell="D38" sqref="D38"/>
    </sheetView>
  </sheetViews>
  <sheetFormatPr defaultColWidth="8.58203125" defaultRowHeight="12.5" x14ac:dyDescent="0.25"/>
  <cols>
    <col min="1" max="1" width="8.58203125" style="33"/>
    <col min="2" max="2" width="3.33203125" style="33" customWidth="1"/>
    <col min="3" max="3" width="31.75" style="1" customWidth="1"/>
    <col min="4" max="4" width="12.75" style="1" customWidth="1"/>
    <col min="5" max="5" width="4.33203125" style="1" customWidth="1"/>
    <col min="6" max="6" width="16.25" style="1" customWidth="1"/>
    <col min="7" max="8" width="7.25" style="1" customWidth="1"/>
    <col min="9" max="16384" width="8.58203125" style="1"/>
  </cols>
  <sheetData>
    <row r="1" spans="1:8" ht="18" x14ac:dyDescent="0.4">
      <c r="A1" s="9"/>
      <c r="B1" s="39"/>
      <c r="C1" s="34" t="s">
        <v>22</v>
      </c>
      <c r="D1" s="21" t="s">
        <v>103</v>
      </c>
      <c r="E1" s="22"/>
      <c r="F1" s="22"/>
      <c r="G1" s="22"/>
      <c r="H1" s="23"/>
    </row>
    <row r="2" spans="1:8" ht="18" x14ac:dyDescent="0.4">
      <c r="A2" s="9"/>
      <c r="B2" s="17"/>
      <c r="C2" s="38"/>
      <c r="D2" s="24" t="s">
        <v>102</v>
      </c>
      <c r="E2" s="25"/>
      <c r="F2" s="25"/>
      <c r="G2" s="25"/>
      <c r="H2" s="26"/>
    </row>
    <row r="3" spans="1:8" ht="18" x14ac:dyDescent="0.4">
      <c r="A3" s="9"/>
      <c r="B3" s="17"/>
      <c r="C3" s="38"/>
      <c r="D3" s="14"/>
      <c r="E3" s="15"/>
      <c r="F3" s="15"/>
      <c r="G3" s="15"/>
      <c r="H3" s="16"/>
    </row>
    <row r="4" spans="1:8" ht="13" x14ac:dyDescent="0.3">
      <c r="A4" s="9"/>
      <c r="B4" s="17"/>
      <c r="C4" s="52" t="s">
        <v>104</v>
      </c>
      <c r="D4" s="15"/>
      <c r="E4" s="15"/>
      <c r="F4" s="32" t="s">
        <v>101</v>
      </c>
      <c r="G4" s="12"/>
      <c r="H4" s="13"/>
    </row>
    <row r="5" spans="1:8" ht="14" x14ac:dyDescent="0.3">
      <c r="A5" s="9"/>
      <c r="B5" s="40">
        <v>1</v>
      </c>
      <c r="C5" s="89" t="s">
        <v>484</v>
      </c>
      <c r="D5" s="87"/>
      <c r="E5" s="15"/>
      <c r="F5" s="17" t="s">
        <v>92</v>
      </c>
      <c r="G5" s="88" t="str">
        <f>IF(Tabeller!C120="Ja","",Tabeller!C119)</f>
        <v/>
      </c>
      <c r="H5" s="80" t="str">
        <f>IF(G5="","",IF(G5&gt;Tabeller!D123,"Grön",IF(G5&lt;Tabeller!C123,"Röd","Gul")))</f>
        <v/>
      </c>
    </row>
    <row r="6" spans="1:8" ht="14" x14ac:dyDescent="0.3">
      <c r="A6" s="9"/>
      <c r="B6" s="40">
        <v>2</v>
      </c>
      <c r="C6" s="90" t="s">
        <v>485</v>
      </c>
      <c r="D6" s="87"/>
      <c r="E6" s="15"/>
      <c r="F6" s="17" t="s">
        <v>93</v>
      </c>
      <c r="G6" s="88" t="str">
        <f>IF(Tabeller!C120="Ja","",Tabeller!D119)</f>
        <v/>
      </c>
      <c r="H6" s="80" t="str">
        <f>IF(G6="","",IF(G6&gt;Tabeller!D124,"Grön",IF(G6&lt;Tabeller!C124,"Röd","Gul")))</f>
        <v/>
      </c>
    </row>
    <row r="7" spans="1:8" ht="14" x14ac:dyDescent="0.3">
      <c r="A7" s="9"/>
      <c r="B7" s="40">
        <v>3</v>
      </c>
      <c r="C7" s="90" t="s">
        <v>486</v>
      </c>
      <c r="D7" s="87"/>
      <c r="E7" s="15"/>
      <c r="F7" s="17" t="s">
        <v>94</v>
      </c>
      <c r="G7" s="88" t="str">
        <f>IF(Tabeller!C120="Ja","",Tabeller!E119)</f>
        <v/>
      </c>
      <c r="H7" s="80" t="str">
        <f>IF(G7="","",IF(G7&gt;Tabeller!D125,"Grön",IF(G7&lt;Tabeller!C125,"Röd","Gul")))</f>
        <v/>
      </c>
    </row>
    <row r="8" spans="1:8" ht="14" x14ac:dyDescent="0.3">
      <c r="A8" s="9"/>
      <c r="B8" s="40">
        <v>4</v>
      </c>
      <c r="C8" s="90" t="s">
        <v>487</v>
      </c>
      <c r="D8" s="87"/>
      <c r="E8" s="15"/>
      <c r="F8" s="17" t="s">
        <v>95</v>
      </c>
      <c r="G8" s="88" t="str">
        <f>IF(Tabeller!C120="Ja","",Tabeller!F119)</f>
        <v/>
      </c>
      <c r="H8" s="80" t="str">
        <f>IF(G8="","",IF(G8&gt;Tabeller!D126,"Grön",IF(G8&lt;Tabeller!C126,"Röd","Gul")))</f>
        <v/>
      </c>
    </row>
    <row r="9" spans="1:8" ht="14" x14ac:dyDescent="0.3">
      <c r="A9" s="9"/>
      <c r="B9" s="40">
        <v>5</v>
      </c>
      <c r="C9" s="90" t="s">
        <v>488</v>
      </c>
      <c r="D9" s="87"/>
      <c r="E9" s="15"/>
      <c r="F9" s="17"/>
      <c r="G9" s="15"/>
      <c r="H9" s="16"/>
    </row>
    <row r="10" spans="1:8" ht="14" x14ac:dyDescent="0.3">
      <c r="A10" s="9"/>
      <c r="B10" s="40">
        <v>6</v>
      </c>
      <c r="C10" s="90" t="s">
        <v>489</v>
      </c>
      <c r="D10" s="87"/>
      <c r="E10" s="15"/>
      <c r="F10" s="18" t="s">
        <v>527</v>
      </c>
      <c r="G10" s="77" t="str">
        <f>Tabeller!B173</f>
        <v/>
      </c>
      <c r="H10" s="80" t="str">
        <f>IF(G10="","",IF(G10&gt;Tabeller!D127,"Grön",IF(G10&lt;Tabeller!C127,"Röd","Gul")))</f>
        <v/>
      </c>
    </row>
    <row r="11" spans="1:8" ht="14" x14ac:dyDescent="0.3">
      <c r="A11" s="9"/>
      <c r="B11" s="40">
        <v>7</v>
      </c>
      <c r="C11" s="90" t="s">
        <v>490</v>
      </c>
      <c r="D11" s="87"/>
      <c r="E11" s="15"/>
      <c r="F11" s="15"/>
      <c r="G11" s="15"/>
      <c r="H11" s="16"/>
    </row>
    <row r="12" spans="1:8" ht="14" x14ac:dyDescent="0.3">
      <c r="A12" s="9"/>
      <c r="B12" s="40">
        <v>8</v>
      </c>
      <c r="C12" s="90" t="s">
        <v>491</v>
      </c>
      <c r="D12" s="87"/>
      <c r="E12" s="15"/>
      <c r="F12" s="15"/>
      <c r="G12" s="15"/>
      <c r="H12" s="16"/>
    </row>
    <row r="13" spans="1:8" ht="14" x14ac:dyDescent="0.3">
      <c r="A13" s="9"/>
      <c r="B13" s="40">
        <v>9</v>
      </c>
      <c r="C13" s="90" t="s">
        <v>492</v>
      </c>
      <c r="D13" s="87"/>
      <c r="E13" s="15"/>
      <c r="F13" s="15"/>
      <c r="G13" s="15"/>
      <c r="H13" s="16"/>
    </row>
    <row r="14" spans="1:8" ht="14" x14ac:dyDescent="0.3">
      <c r="A14" s="9"/>
      <c r="B14" s="40">
        <v>10</v>
      </c>
      <c r="C14" s="90" t="s">
        <v>493</v>
      </c>
      <c r="D14" s="87"/>
      <c r="E14" s="15"/>
      <c r="F14" s="15"/>
      <c r="G14" s="15"/>
      <c r="H14" s="16"/>
    </row>
    <row r="15" spans="1:8" ht="14" x14ac:dyDescent="0.3">
      <c r="A15" s="9"/>
      <c r="B15" s="40">
        <v>11</v>
      </c>
      <c r="C15" s="90" t="s">
        <v>494</v>
      </c>
      <c r="D15" s="87"/>
      <c r="E15" s="15"/>
      <c r="F15" s="15"/>
      <c r="G15" s="15"/>
      <c r="H15" s="16"/>
    </row>
    <row r="16" spans="1:8" ht="14" x14ac:dyDescent="0.3">
      <c r="A16" s="9"/>
      <c r="B16" s="40">
        <v>12</v>
      </c>
      <c r="C16" s="90" t="s">
        <v>495</v>
      </c>
      <c r="D16" s="87"/>
      <c r="E16" s="15"/>
      <c r="F16" s="15"/>
      <c r="G16" s="15"/>
      <c r="H16" s="16"/>
    </row>
    <row r="17" spans="1:8" ht="14" x14ac:dyDescent="0.3">
      <c r="A17" s="9"/>
      <c r="B17" s="40">
        <v>13</v>
      </c>
      <c r="C17" s="90" t="s">
        <v>496</v>
      </c>
      <c r="D17" s="87"/>
      <c r="E17" s="15"/>
      <c r="F17" s="15"/>
      <c r="G17" s="15"/>
      <c r="H17" s="16"/>
    </row>
    <row r="18" spans="1:8" ht="14" x14ac:dyDescent="0.3">
      <c r="A18" s="9"/>
      <c r="B18" s="40">
        <v>14</v>
      </c>
      <c r="C18" s="90" t="s">
        <v>497</v>
      </c>
      <c r="D18" s="87"/>
      <c r="E18" s="15"/>
      <c r="F18" s="15"/>
      <c r="G18" s="15"/>
      <c r="H18" s="16"/>
    </row>
    <row r="19" spans="1:8" ht="14" x14ac:dyDescent="0.3">
      <c r="A19" s="9"/>
      <c r="B19" s="40">
        <v>15</v>
      </c>
      <c r="C19" s="90" t="s">
        <v>498</v>
      </c>
      <c r="D19" s="87"/>
      <c r="E19" s="15"/>
      <c r="F19" s="15"/>
      <c r="G19" s="15"/>
      <c r="H19" s="16"/>
    </row>
    <row r="20" spans="1:8" ht="14" x14ac:dyDescent="0.3">
      <c r="A20" s="9"/>
      <c r="B20" s="40">
        <v>16</v>
      </c>
      <c r="C20" s="90" t="s">
        <v>499</v>
      </c>
      <c r="D20" s="87"/>
      <c r="E20" s="15"/>
      <c r="F20" s="15"/>
      <c r="G20" s="15"/>
      <c r="H20" s="16"/>
    </row>
    <row r="21" spans="1:8" ht="14" x14ac:dyDescent="0.3">
      <c r="A21" s="9"/>
      <c r="B21" s="40">
        <v>17</v>
      </c>
      <c r="C21" s="90" t="s">
        <v>500</v>
      </c>
      <c r="D21" s="87"/>
      <c r="E21" s="15"/>
      <c r="F21" s="15"/>
      <c r="G21" s="15"/>
      <c r="H21" s="16"/>
    </row>
    <row r="22" spans="1:8" ht="14" x14ac:dyDescent="0.3">
      <c r="A22" s="9"/>
      <c r="B22" s="40">
        <v>18</v>
      </c>
      <c r="C22" s="90" t="s">
        <v>501</v>
      </c>
      <c r="D22" s="87"/>
      <c r="E22" s="15"/>
      <c r="F22" s="15"/>
      <c r="G22" s="15"/>
      <c r="H22" s="16"/>
    </row>
    <row r="23" spans="1:8" ht="14" x14ac:dyDescent="0.3">
      <c r="A23" s="9"/>
      <c r="B23" s="40">
        <v>19</v>
      </c>
      <c r="C23" s="90" t="s">
        <v>502</v>
      </c>
      <c r="D23" s="87"/>
      <c r="E23" s="15"/>
      <c r="F23" s="15"/>
      <c r="G23" s="15"/>
      <c r="H23" s="16"/>
    </row>
    <row r="24" spans="1:8" ht="14" x14ac:dyDescent="0.3">
      <c r="A24" s="9"/>
      <c r="B24" s="40">
        <v>20</v>
      </c>
      <c r="C24" s="90" t="s">
        <v>504</v>
      </c>
      <c r="D24" s="87"/>
      <c r="E24" s="15"/>
      <c r="F24" s="15"/>
      <c r="G24" s="15"/>
      <c r="H24" s="16"/>
    </row>
    <row r="25" spans="1:8" ht="14" x14ac:dyDescent="0.3">
      <c r="A25" s="9"/>
      <c r="B25" s="40">
        <v>21</v>
      </c>
      <c r="C25" s="90" t="s">
        <v>503</v>
      </c>
      <c r="D25" s="87"/>
      <c r="E25" s="15"/>
      <c r="F25" s="15"/>
      <c r="G25" s="15"/>
      <c r="H25" s="16"/>
    </row>
    <row r="26" spans="1:8" ht="14" x14ac:dyDescent="0.3">
      <c r="A26" s="9"/>
      <c r="B26" s="40">
        <v>22</v>
      </c>
      <c r="C26" s="90" t="s">
        <v>505</v>
      </c>
      <c r="D26" s="87"/>
      <c r="E26" s="15"/>
      <c r="F26" s="15"/>
      <c r="G26" s="15"/>
      <c r="H26" s="16"/>
    </row>
    <row r="27" spans="1:8" ht="14" x14ac:dyDescent="0.3">
      <c r="A27" s="9"/>
      <c r="B27" s="40">
        <v>23</v>
      </c>
      <c r="C27" s="90" t="s">
        <v>506</v>
      </c>
      <c r="D27" s="87"/>
      <c r="E27" s="15"/>
      <c r="F27" s="15"/>
      <c r="G27" s="15"/>
      <c r="H27" s="16"/>
    </row>
    <row r="28" spans="1:8" ht="14" x14ac:dyDescent="0.3">
      <c r="A28" s="9"/>
      <c r="B28" s="40">
        <v>24</v>
      </c>
      <c r="C28" s="90" t="s">
        <v>507</v>
      </c>
      <c r="D28" s="87"/>
      <c r="E28" s="15"/>
      <c r="F28" s="15"/>
      <c r="G28" s="15"/>
      <c r="H28" s="16"/>
    </row>
    <row r="29" spans="1:8" ht="14" x14ac:dyDescent="0.3">
      <c r="A29" s="9"/>
      <c r="B29" s="40">
        <v>25</v>
      </c>
      <c r="C29" s="90" t="s">
        <v>508</v>
      </c>
      <c r="D29" s="87"/>
      <c r="E29" s="15"/>
      <c r="F29" s="15"/>
      <c r="G29" s="15"/>
      <c r="H29" s="16"/>
    </row>
    <row r="30" spans="1:8" ht="14" x14ac:dyDescent="0.3">
      <c r="A30" s="9"/>
      <c r="B30" s="40">
        <v>26</v>
      </c>
      <c r="C30" s="90" t="s">
        <v>509</v>
      </c>
      <c r="D30" s="87"/>
      <c r="E30" s="15"/>
      <c r="F30" s="15"/>
      <c r="G30" s="15"/>
      <c r="H30" s="16"/>
    </row>
    <row r="31" spans="1:8" ht="14" x14ac:dyDescent="0.3">
      <c r="A31" s="9"/>
      <c r="B31" s="40">
        <v>27</v>
      </c>
      <c r="C31" s="90" t="s">
        <v>510</v>
      </c>
      <c r="D31" s="87"/>
      <c r="E31" s="15"/>
      <c r="F31" s="15"/>
      <c r="G31" s="15"/>
      <c r="H31" s="16"/>
    </row>
    <row r="32" spans="1:8" ht="14" x14ac:dyDescent="0.3">
      <c r="A32" s="9"/>
      <c r="B32" s="40">
        <v>28</v>
      </c>
      <c r="C32" s="90" t="s">
        <v>511</v>
      </c>
      <c r="D32" s="87"/>
      <c r="E32" s="15"/>
      <c r="F32" s="15"/>
      <c r="G32" s="15"/>
      <c r="H32" s="16"/>
    </row>
    <row r="33" spans="1:8" ht="14" x14ac:dyDescent="0.3">
      <c r="A33" s="9"/>
      <c r="B33" s="40">
        <v>29</v>
      </c>
      <c r="C33" s="90" t="s">
        <v>512</v>
      </c>
      <c r="D33" s="87"/>
      <c r="E33" s="15"/>
      <c r="F33" s="15"/>
      <c r="G33" s="15"/>
      <c r="H33" s="16"/>
    </row>
    <row r="34" spans="1:8" ht="14" x14ac:dyDescent="0.3">
      <c r="A34" s="9"/>
      <c r="B34" s="40">
        <v>30</v>
      </c>
      <c r="C34" s="90" t="s">
        <v>513</v>
      </c>
      <c r="D34" s="87"/>
      <c r="E34" s="15"/>
      <c r="F34" s="15"/>
      <c r="G34" s="15"/>
      <c r="H34" s="16"/>
    </row>
    <row r="35" spans="1:8" ht="14" x14ac:dyDescent="0.3">
      <c r="A35" s="9"/>
      <c r="B35" s="40">
        <v>31</v>
      </c>
      <c r="C35" s="90" t="s">
        <v>514</v>
      </c>
      <c r="D35" s="87"/>
      <c r="E35" s="15"/>
      <c r="F35" s="15"/>
      <c r="G35" s="15"/>
      <c r="H35" s="16"/>
    </row>
    <row r="36" spans="1:8" ht="14" x14ac:dyDescent="0.3">
      <c r="A36" s="9"/>
      <c r="B36" s="40">
        <v>32</v>
      </c>
      <c r="C36" s="90" t="s">
        <v>515</v>
      </c>
      <c r="D36" s="87"/>
      <c r="E36" s="15"/>
      <c r="F36" s="15"/>
      <c r="G36" s="15"/>
      <c r="H36" s="16"/>
    </row>
    <row r="37" spans="1:8" ht="14" x14ac:dyDescent="0.3">
      <c r="A37" s="9"/>
      <c r="B37" s="40"/>
      <c r="C37" s="57"/>
      <c r="D37" s="57"/>
      <c r="E37" s="15"/>
      <c r="F37" s="15"/>
      <c r="G37" s="15"/>
      <c r="H37" s="16"/>
    </row>
    <row r="38" spans="1:8" ht="27.65" customHeight="1" x14ac:dyDescent="0.3">
      <c r="A38" s="9"/>
      <c r="B38" s="40"/>
      <c r="C38" s="209" t="s">
        <v>542</v>
      </c>
      <c r="D38" s="210"/>
      <c r="E38" s="15"/>
      <c r="F38" s="217"/>
      <c r="G38" s="218"/>
      <c r="H38" s="16"/>
    </row>
    <row r="39" spans="1:8" ht="14" x14ac:dyDescent="0.3">
      <c r="A39" s="9"/>
      <c r="B39" s="40"/>
      <c r="C39" s="208" t="s">
        <v>537</v>
      </c>
      <c r="D39" s="15"/>
      <c r="E39" s="15"/>
      <c r="F39" s="218"/>
      <c r="G39" s="218"/>
      <c r="H39" s="16"/>
    </row>
    <row r="40" spans="1:8" ht="17.649999999999999" customHeight="1" x14ac:dyDescent="0.3">
      <c r="A40" s="9"/>
      <c r="B40" s="40">
        <v>33</v>
      </c>
      <c r="C40" s="90" t="s">
        <v>516</v>
      </c>
      <c r="D40" s="87"/>
      <c r="E40" s="15"/>
      <c r="F40" s="15"/>
      <c r="G40" s="15"/>
      <c r="H40" s="16"/>
    </row>
    <row r="41" spans="1:8" ht="14" x14ac:dyDescent="0.3">
      <c r="A41" s="9"/>
      <c r="B41" s="40">
        <v>34</v>
      </c>
      <c r="C41" s="90" t="s">
        <v>517</v>
      </c>
      <c r="D41" s="87"/>
      <c r="E41" s="15"/>
      <c r="F41" s="15"/>
      <c r="G41" s="15"/>
      <c r="H41" s="16"/>
    </row>
    <row r="42" spans="1:8" ht="14" x14ac:dyDescent="0.3">
      <c r="A42" s="9"/>
      <c r="B42" s="40">
        <v>35</v>
      </c>
      <c r="C42" s="90" t="s">
        <v>518</v>
      </c>
      <c r="D42" s="87"/>
      <c r="E42" s="15"/>
      <c r="F42" s="15"/>
      <c r="G42" s="15"/>
      <c r="H42" s="16"/>
    </row>
    <row r="43" spans="1:8" ht="14" x14ac:dyDescent="0.3">
      <c r="A43" s="9"/>
      <c r="B43" s="40">
        <v>36</v>
      </c>
      <c r="C43" s="57" t="s">
        <v>519</v>
      </c>
      <c r="D43" s="87"/>
      <c r="E43" s="15"/>
      <c r="F43" s="15"/>
      <c r="G43" s="15"/>
      <c r="H43" s="16"/>
    </row>
    <row r="44" spans="1:8" ht="14" x14ac:dyDescent="0.3">
      <c r="A44" s="9"/>
      <c r="B44" s="40">
        <v>37</v>
      </c>
      <c r="C44" s="57" t="s">
        <v>252</v>
      </c>
      <c r="D44" s="87"/>
      <c r="E44" s="15"/>
      <c r="F44" s="15"/>
      <c r="G44" s="15"/>
      <c r="H44" s="16"/>
    </row>
    <row r="45" spans="1:8" ht="14" x14ac:dyDescent="0.3">
      <c r="A45" s="9"/>
      <c r="B45" s="40">
        <v>38</v>
      </c>
      <c r="C45" s="57" t="s">
        <v>253</v>
      </c>
      <c r="D45" s="87"/>
      <c r="E45" s="15"/>
      <c r="F45" s="15"/>
      <c r="G45" s="15"/>
      <c r="H45" s="16"/>
    </row>
    <row r="46" spans="1:8" ht="14" x14ac:dyDescent="0.3">
      <c r="A46" s="9"/>
      <c r="B46" s="40">
        <v>39</v>
      </c>
      <c r="C46" s="57" t="s">
        <v>254</v>
      </c>
      <c r="D46" s="87"/>
      <c r="E46" s="15"/>
      <c r="F46" s="15"/>
      <c r="G46" s="15"/>
      <c r="H46" s="16"/>
    </row>
    <row r="47" spans="1:8" ht="14" x14ac:dyDescent="0.3">
      <c r="A47" s="9"/>
      <c r="B47" s="40">
        <v>40</v>
      </c>
      <c r="C47" s="57" t="s">
        <v>321</v>
      </c>
      <c r="D47" s="87"/>
      <c r="E47" s="15"/>
      <c r="F47" s="15"/>
      <c r="G47" s="15"/>
      <c r="H47" s="16"/>
    </row>
    <row r="48" spans="1:8" ht="14" x14ac:dyDescent="0.3">
      <c r="A48" s="9"/>
      <c r="B48" s="40">
        <v>41</v>
      </c>
      <c r="C48" s="57" t="s">
        <v>520</v>
      </c>
      <c r="D48" s="87"/>
      <c r="E48" s="15"/>
      <c r="F48" s="15"/>
      <c r="G48" s="15"/>
      <c r="H48" s="16"/>
    </row>
    <row r="49" spans="1:8" ht="14" x14ac:dyDescent="0.3">
      <c r="A49" s="9"/>
      <c r="B49" s="40">
        <v>42</v>
      </c>
      <c r="C49" s="57" t="s">
        <v>255</v>
      </c>
      <c r="D49" s="87"/>
      <c r="E49" s="15"/>
      <c r="F49" s="15"/>
      <c r="G49" s="15"/>
      <c r="H49" s="16"/>
    </row>
    <row r="50" spans="1:8" ht="14" x14ac:dyDescent="0.3">
      <c r="A50" s="9"/>
      <c r="B50" s="40">
        <v>43</v>
      </c>
      <c r="C50" s="57" t="s">
        <v>521</v>
      </c>
      <c r="D50" s="87"/>
      <c r="E50" s="15"/>
      <c r="F50" s="15"/>
      <c r="G50" s="15"/>
      <c r="H50" s="16"/>
    </row>
    <row r="51" spans="1:8" ht="14" x14ac:dyDescent="0.3">
      <c r="A51" s="9"/>
      <c r="B51" s="40">
        <v>44</v>
      </c>
      <c r="C51" s="57" t="s">
        <v>538</v>
      </c>
      <c r="D51" s="87"/>
      <c r="E51" s="15"/>
      <c r="F51" s="15"/>
      <c r="G51" s="15"/>
      <c r="H51" s="16"/>
    </row>
    <row r="52" spans="1:8" ht="14" x14ac:dyDescent="0.3">
      <c r="A52" s="9"/>
      <c r="B52" s="40">
        <v>45</v>
      </c>
      <c r="C52" s="57" t="s">
        <v>501</v>
      </c>
      <c r="D52" s="87"/>
      <c r="E52" s="15"/>
      <c r="F52" s="15"/>
      <c r="G52" s="15"/>
      <c r="H52" s="16"/>
    </row>
    <row r="53" spans="1:8" ht="14" x14ac:dyDescent="0.3">
      <c r="A53" s="9"/>
      <c r="B53" s="40">
        <v>46</v>
      </c>
      <c r="C53" s="57" t="s">
        <v>522</v>
      </c>
      <c r="D53" s="87"/>
      <c r="E53" s="15"/>
      <c r="F53" s="15"/>
      <c r="G53" s="15"/>
      <c r="H53" s="16"/>
    </row>
    <row r="54" spans="1:8" ht="14" x14ac:dyDescent="0.3">
      <c r="A54" s="9"/>
      <c r="B54" s="40">
        <v>47</v>
      </c>
      <c r="C54" s="57" t="s">
        <v>523</v>
      </c>
      <c r="D54" s="87"/>
      <c r="E54" s="15"/>
      <c r="F54" s="15"/>
      <c r="G54" s="15"/>
      <c r="H54" s="16"/>
    </row>
    <row r="55" spans="1:8" ht="14" x14ac:dyDescent="0.3">
      <c r="A55" s="9"/>
      <c r="B55" s="40">
        <v>48</v>
      </c>
      <c r="C55" s="57" t="s">
        <v>524</v>
      </c>
      <c r="D55" s="87"/>
      <c r="E55" s="15"/>
      <c r="F55" s="15"/>
      <c r="G55" s="15"/>
      <c r="H55" s="16"/>
    </row>
    <row r="56" spans="1:8" ht="14" x14ac:dyDescent="0.3">
      <c r="A56" s="9"/>
      <c r="B56" s="40">
        <v>49</v>
      </c>
      <c r="C56" s="57" t="s">
        <v>525</v>
      </c>
      <c r="D56" s="87"/>
      <c r="E56" s="15"/>
      <c r="F56" s="15"/>
      <c r="G56" s="15"/>
      <c r="H56" s="16"/>
    </row>
    <row r="57" spans="1:8" ht="14" x14ac:dyDescent="0.3">
      <c r="A57" s="9"/>
      <c r="B57" s="40">
        <v>50</v>
      </c>
      <c r="C57" s="57" t="s">
        <v>526</v>
      </c>
      <c r="D57" s="87"/>
      <c r="E57" s="15"/>
      <c r="F57" s="15"/>
      <c r="G57" s="15"/>
      <c r="H57" s="16"/>
    </row>
    <row r="58" spans="1:8" ht="14" x14ac:dyDescent="0.3">
      <c r="A58" s="9"/>
      <c r="B58" s="40"/>
      <c r="C58" s="57"/>
      <c r="D58" s="15"/>
      <c r="E58" s="15"/>
      <c r="F58" s="15"/>
      <c r="G58" s="15"/>
      <c r="H58" s="16"/>
    </row>
    <row r="59" spans="1:8" ht="14" x14ac:dyDescent="0.3">
      <c r="A59" s="9"/>
      <c r="B59" s="40"/>
      <c r="C59" s="57"/>
      <c r="D59" s="166" t="s">
        <v>246</v>
      </c>
      <c r="E59" s="15"/>
      <c r="F59" s="15"/>
      <c r="G59" s="15"/>
      <c r="H59" s="16"/>
    </row>
    <row r="60" spans="1:8" ht="14" x14ac:dyDescent="0.3">
      <c r="A60" s="9"/>
      <c r="B60" s="17"/>
      <c r="C60" s="15"/>
      <c r="D60" s="166" t="s">
        <v>243</v>
      </c>
      <c r="E60" s="15"/>
      <c r="F60" s="15"/>
      <c r="G60" s="15"/>
      <c r="H60" s="16"/>
    </row>
    <row r="61" spans="1:8" x14ac:dyDescent="0.25">
      <c r="A61" s="9"/>
      <c r="B61" s="18"/>
      <c r="C61" s="19"/>
      <c r="D61" s="19"/>
      <c r="E61" s="19"/>
      <c r="F61" s="19"/>
      <c r="G61" s="19"/>
      <c r="H61" s="20"/>
    </row>
  </sheetData>
  <mergeCells count="1">
    <mergeCell ref="F38:G39"/>
  </mergeCells>
  <conditionalFormatting sqref="H5:H8">
    <cfRule type="containsText" dxfId="71" priority="7" operator="containsText" text="Grön">
      <formula>NOT(ISERROR(SEARCH("Grön",H5)))</formula>
    </cfRule>
    <cfRule type="containsText" dxfId="70" priority="8" operator="containsText" text="Röd">
      <formula>NOT(ISERROR(SEARCH("Röd",H5)))</formula>
    </cfRule>
    <cfRule type="cellIs" dxfId="69" priority="12" operator="equal">
      <formula>"""Gul"""</formula>
    </cfRule>
  </conditionalFormatting>
  <conditionalFormatting sqref="H5:H8">
    <cfRule type="containsText" dxfId="68" priority="9" operator="containsText" text="Grön">
      <formula>NOT(ISERROR(SEARCH("Grön",H5)))</formula>
    </cfRule>
    <cfRule type="containsText" dxfId="67" priority="10" operator="containsText" text="Röd">
      <formula>NOT(ISERROR(SEARCH("Röd",H5)))</formula>
    </cfRule>
    <cfRule type="containsText" dxfId="66" priority="11" operator="containsText" text="Gul">
      <formula>NOT(ISERROR(SEARCH("Gul",H5)))</formula>
    </cfRule>
  </conditionalFormatting>
  <conditionalFormatting sqref="H10">
    <cfRule type="containsText" dxfId="65" priority="1" operator="containsText" text="Grön">
      <formula>NOT(ISERROR(SEARCH("Grön",H10)))</formula>
    </cfRule>
    <cfRule type="containsText" dxfId="64" priority="2" operator="containsText" text="Röd">
      <formula>NOT(ISERROR(SEARCH("Röd",H10)))</formula>
    </cfRule>
    <cfRule type="cellIs" dxfId="63" priority="6" operator="equal">
      <formula>"""Gul"""</formula>
    </cfRule>
  </conditionalFormatting>
  <conditionalFormatting sqref="H10">
    <cfRule type="containsText" dxfId="62" priority="3" operator="containsText" text="Grön">
      <formula>NOT(ISERROR(SEARCH("Grön",H10)))</formula>
    </cfRule>
    <cfRule type="containsText" dxfId="61" priority="4" operator="containsText" text="Röd">
      <formula>NOT(ISERROR(SEARCH("Röd",H10)))</formula>
    </cfRule>
    <cfRule type="containsText" dxfId="60" priority="5" operator="containsText" text="Gul">
      <formula>NOT(ISERROR(SEARCH("Gul",H10)))</formula>
    </cfRule>
  </conditionalFormatting>
  <hyperlinks>
    <hyperlink ref="D1" r:id="rId1" display="I den här broschyren beskrivs åtgärderna i detalj, tipsa gärna om att läsa den" xr:uid="{00000000-0004-0000-0400-000000000000}"/>
    <hyperlink ref="D2" r:id="rId2" xr:uid="{00000000-0004-0000-0400-000001000000}"/>
    <hyperlink ref="D60" location="Introduktion!A1" display="Till Introduktion" xr:uid="{3AEFF6A3-D7A6-4BA3-B43C-30AE295F00DF}"/>
    <hyperlink ref="D59" location="'Klimat och Energi'!A1" display="Till Klimat och Energi" xr:uid="{FA386F6F-130D-4252-B69D-A83F2C0ADB50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78A646-79CB-4E12-A190-E6B4B3ED9090}">
          <x14:formula1>
            <xm:f>Tabeller!$A$37:$A$39</xm:f>
          </x14:formula1>
          <xm:sqref>D40:D57 D5:D36</xm:sqref>
        </x14:dataValidation>
        <x14:dataValidation type="list" allowBlank="1" showInputMessage="1" showErrorMessage="1" xr:uid="{EE7DBA50-0347-4F57-9B63-52232927C622}">
          <x14:formula1>
            <xm:f>Tabeller!$A$350:$A$352</xm:f>
          </x14:formula1>
          <xm:sqref>D38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5"/>
  <sheetViews>
    <sheetView workbookViewId="0">
      <selection activeCell="D21" sqref="D21"/>
    </sheetView>
  </sheetViews>
  <sheetFormatPr defaultColWidth="8.58203125" defaultRowHeight="12.5" x14ac:dyDescent="0.25"/>
  <cols>
    <col min="1" max="1" width="2.25" style="1" customWidth="1"/>
    <col min="2" max="2" width="47.33203125" style="1" customWidth="1"/>
    <col min="3" max="3" width="8.58203125" style="1"/>
    <col min="4" max="4" width="36.83203125" style="1" customWidth="1"/>
    <col min="5" max="5" width="8.83203125" style="1" bestFit="1" customWidth="1"/>
    <col min="6" max="6" width="8.58203125" style="1"/>
    <col min="7" max="7" width="10.83203125" style="1" bestFit="1" customWidth="1"/>
    <col min="8" max="16384" width="8.58203125" style="1"/>
  </cols>
  <sheetData>
    <row r="2" spans="2:10" ht="14" x14ac:dyDescent="0.3">
      <c r="C2"/>
      <c r="D2"/>
    </row>
    <row r="3" spans="2:10" ht="14" x14ac:dyDescent="0.3">
      <c r="B3" s="156"/>
      <c r="C3" s="58"/>
      <c r="D3" s="35"/>
      <c r="E3" s="12"/>
      <c r="F3" s="13"/>
    </row>
    <row r="4" spans="2:10" ht="14" x14ac:dyDescent="0.3">
      <c r="B4" s="157"/>
      <c r="C4" s="56"/>
      <c r="D4" s="36"/>
      <c r="E4" s="15"/>
      <c r="F4" s="16"/>
    </row>
    <row r="5" spans="2:10" ht="18" x14ac:dyDescent="0.4">
      <c r="B5" s="158" t="s">
        <v>41</v>
      </c>
      <c r="C5" s="56"/>
      <c r="D5" s="36"/>
      <c r="E5" s="15"/>
      <c r="F5" s="16"/>
    </row>
    <row r="6" spans="2:10" ht="20" x14ac:dyDescent="0.3">
      <c r="B6" s="159" t="s">
        <v>1</v>
      </c>
      <c r="C6" s="57" t="s">
        <v>2</v>
      </c>
      <c r="D6" s="148"/>
      <c r="E6" s="15"/>
      <c r="F6" s="16"/>
      <c r="J6" s="4"/>
    </row>
    <row r="7" spans="2:10" ht="14" x14ac:dyDescent="0.3">
      <c r="B7" s="159" t="s">
        <v>3</v>
      </c>
      <c r="C7" s="57" t="s">
        <v>4</v>
      </c>
      <c r="D7" s="148"/>
      <c r="E7" s="15" t="str">
        <f>IF(D7="","",IF(D7&lt;VLOOKUP(Inriktning,Tabellen,2,FALSE),"Grön",IF(D7&gt;1.1,"Röd","Gul")))</f>
        <v/>
      </c>
      <c r="F7" s="16"/>
    </row>
    <row r="8" spans="2:10" ht="14" x14ac:dyDescent="0.3">
      <c r="B8" s="159" t="s">
        <v>455</v>
      </c>
      <c r="C8" s="57" t="s">
        <v>4</v>
      </c>
      <c r="D8" s="197"/>
      <c r="E8" s="15"/>
      <c r="F8" s="16"/>
      <c r="G8" s="2"/>
    </row>
    <row r="9" spans="2:10" x14ac:dyDescent="0.25">
      <c r="B9" s="159" t="str">
        <f>CONCATENATE("Klimatavtryck per kg ",Tabeller!AD22)</f>
        <v>Klimatavtryck per kg slaktad vikt</v>
      </c>
      <c r="C9" s="57" t="s">
        <v>4</v>
      </c>
      <c r="D9" s="211" t="str">
        <f>IF(D8="","",D8/VLOOKUP(Inriktning,Tabellen,29,FALSE))</f>
        <v/>
      </c>
      <c r="E9" s="15" t="str">
        <f>IF(OR(D9="",Inriktning="Annan"),"",IF(D9&lt;VLOOKUP(Inriktning,Tabellen,2,FALSE),"Grön",IF(D9&gt;VLOOKUP(Inriktning,Tabellen,3,FALSE),"Röd","Gul")))</f>
        <v/>
      </c>
      <c r="F9" s="16"/>
      <c r="G9" s="2"/>
    </row>
    <row r="10" spans="2:10" x14ac:dyDescent="0.25">
      <c r="B10" s="159"/>
      <c r="C10" s="57"/>
      <c r="D10" s="15"/>
      <c r="E10" s="15"/>
      <c r="F10" s="16"/>
      <c r="G10" s="2"/>
    </row>
    <row r="11" spans="2:10" x14ac:dyDescent="0.25">
      <c r="B11" s="160" t="s">
        <v>116</v>
      </c>
      <c r="C11" s="57"/>
      <c r="D11" s="15"/>
      <c r="E11" s="15"/>
      <c r="F11" s="16"/>
      <c r="G11" s="2"/>
    </row>
    <row r="12" spans="2:10" ht="14" x14ac:dyDescent="0.3">
      <c r="B12" s="161"/>
      <c r="C12" s="57"/>
      <c r="D12" s="148"/>
      <c r="E12" s="15" t="str">
        <f>IF(D12="","",IF(D12&lt;VLOOKUP(B12,Tabeller!$A$131:$D$146,3,FALSE),"Grön",IF(D12&gt;VLOOKUP(B12,Tabeller!$A$131:$D$146,4,FALSE),"Röd","Gul")))</f>
        <v/>
      </c>
      <c r="F12" s="16"/>
      <c r="G12" s="2"/>
    </row>
    <row r="13" spans="2:10" ht="14" x14ac:dyDescent="0.3">
      <c r="B13" s="161"/>
      <c r="C13" s="57"/>
      <c r="D13" s="148"/>
      <c r="E13" s="15" t="str">
        <f>IF(D13="","",IF(D13&lt;VLOOKUP(B13,Tabeller!$A$131:$D$146,3,FALSE),"Grön",IF(D13&gt;VLOOKUP(B13,Tabeller!$A$131:$D$146,4,FALSE),"Röd","Gul")))</f>
        <v/>
      </c>
      <c r="F13" s="16"/>
      <c r="G13" s="2"/>
    </row>
    <row r="14" spans="2:10" ht="14" x14ac:dyDescent="0.3">
      <c r="B14" s="159" t="s">
        <v>5</v>
      </c>
      <c r="C14" s="57" t="s">
        <v>6</v>
      </c>
      <c r="D14" s="148"/>
      <c r="E14" s="15" t="str">
        <f>IF(D14="","",IF(D14&lt;Tabeller!C33,"Röd",IF(D14&gt;Tabeller!D33,"Grön","Gul")))</f>
        <v/>
      </c>
      <c r="F14" s="16"/>
    </row>
    <row r="15" spans="2:10" ht="14" x14ac:dyDescent="0.3">
      <c r="B15" s="159" t="s">
        <v>126</v>
      </c>
      <c r="C15" s="57"/>
      <c r="D15" s="148"/>
      <c r="E15" s="15" t="str">
        <f>IF(D15="","",IF(VLOOKUP(D15,Tabeller!A153:B155,2,FALSE)&lt;1,"Röd",IF(VLOOKUP(D15,Tabeller!A153:B155,2,FALSE)&gt;1,"Grön","Gul")))</f>
        <v/>
      </c>
      <c r="F15" s="16"/>
    </row>
    <row r="16" spans="2:10" ht="14" x14ac:dyDescent="0.3">
      <c r="B16" s="159"/>
      <c r="C16" s="57"/>
      <c r="D16" s="36"/>
      <c r="E16" s="15"/>
      <c r="F16" s="16"/>
    </row>
    <row r="17" spans="2:6" ht="18" x14ac:dyDescent="0.4">
      <c r="B17" s="162" t="s">
        <v>42</v>
      </c>
      <c r="C17" s="57"/>
      <c r="D17" s="36"/>
      <c r="E17" s="15"/>
      <c r="F17" s="16"/>
    </row>
    <row r="18" spans="2:6" ht="14" x14ac:dyDescent="0.3">
      <c r="B18" s="159" t="s">
        <v>550</v>
      </c>
      <c r="C18" s="57" t="s">
        <v>551</v>
      </c>
      <c r="D18" s="148"/>
      <c r="E18" s="15" t="str">
        <f>IF(OR(D18="",Inriktning="Annan"),"",IF(D18&lt;VLOOKUP(Inriktning,Tabellen,4,FALSE),"Grön",IF(D18&gt;VLOOKUP(Inriktning,Tabellen,5,FALSE),"Röd","Gul")))</f>
        <v/>
      </c>
      <c r="F18" s="16"/>
    </row>
    <row r="19" spans="2:6" ht="14" x14ac:dyDescent="0.3">
      <c r="B19" s="159" t="s">
        <v>8</v>
      </c>
      <c r="C19" s="57" t="s">
        <v>6</v>
      </c>
      <c r="D19" s="148"/>
      <c r="E19" s="15" t="str">
        <f>IF(D19="","",IF(D19&lt;Tabeller!E33,"Röd",IF(D19&gt;Tabeller!F33,"Grön","Gul")))</f>
        <v/>
      </c>
      <c r="F19" s="16"/>
    </row>
    <row r="20" spans="2:6" ht="14" x14ac:dyDescent="0.3">
      <c r="B20" s="159" t="s">
        <v>241</v>
      </c>
      <c r="C20" s="57" t="s">
        <v>6</v>
      </c>
      <c r="D20" s="148"/>
      <c r="E20" s="15" t="str">
        <f>IF(D20="","",IF(D20&lt;Tabeller!G33,"Röd",IF(D20&gt;Tabeller!H33,"Grön","Gul")))</f>
        <v/>
      </c>
      <c r="F20" s="16"/>
    </row>
    <row r="21" spans="2:6" ht="14" x14ac:dyDescent="0.3">
      <c r="B21" s="159" t="s">
        <v>9</v>
      </c>
      <c r="C21" s="57" t="s">
        <v>552</v>
      </c>
      <c r="D21" s="148"/>
      <c r="E21" s="15"/>
      <c r="F21" s="16"/>
    </row>
    <row r="22" spans="2:6" x14ac:dyDescent="0.25">
      <c r="B22" s="159"/>
      <c r="C22" s="57"/>
      <c r="D22" s="15"/>
      <c r="E22" s="15"/>
      <c r="F22" s="16"/>
    </row>
    <row r="23" spans="2:6" ht="14" x14ac:dyDescent="0.3">
      <c r="B23" s="159"/>
      <c r="C23" s="57"/>
      <c r="D23" s="166" t="s">
        <v>248</v>
      </c>
      <c r="E23" s="15"/>
      <c r="F23" s="16"/>
    </row>
    <row r="24" spans="2:6" ht="14" x14ac:dyDescent="0.3">
      <c r="B24" s="159"/>
      <c r="C24" s="57"/>
      <c r="D24" s="166" t="s">
        <v>243</v>
      </c>
      <c r="E24" s="15"/>
      <c r="F24" s="16"/>
    </row>
    <row r="25" spans="2:6" x14ac:dyDescent="0.25">
      <c r="B25" s="18"/>
      <c r="C25" s="19"/>
      <c r="D25" s="19"/>
      <c r="E25" s="19"/>
      <c r="F25" s="20"/>
    </row>
  </sheetData>
  <conditionalFormatting sqref="D7">
    <cfRule type="expression" dxfId="59" priority="22">
      <formula>"D6=""Grön"""</formula>
    </cfRule>
  </conditionalFormatting>
  <conditionalFormatting sqref="E6:E24">
    <cfRule type="cellIs" dxfId="58" priority="20" operator="equal">
      <formula>"""Gul"""</formula>
    </cfRule>
  </conditionalFormatting>
  <conditionalFormatting sqref="E7:E24">
    <cfRule type="containsText" dxfId="57" priority="17" operator="containsText" text="Grön">
      <formula>NOT(ISERROR(SEARCH("Grön",E7)))</formula>
    </cfRule>
    <cfRule type="containsText" dxfId="56" priority="18" operator="containsText" text="Röd">
      <formula>NOT(ISERROR(SEARCH("Röd",E7)))</formula>
    </cfRule>
    <cfRule type="containsText" dxfId="55" priority="19" operator="containsText" text="Gul">
      <formula>NOT(ISERROR(SEARCH("Gul",E7)))</formula>
    </cfRule>
  </conditionalFormatting>
  <conditionalFormatting sqref="C13">
    <cfRule type="expression" dxfId="54" priority="44">
      <formula>IF(E4&lt;3,"Sant","Falskt")</formula>
    </cfRule>
    <cfRule type="expression" dxfId="53" priority="45">
      <formula>IF(E4&gt;7,"Sant","Falskt")</formula>
    </cfRule>
  </conditionalFormatting>
  <conditionalFormatting sqref="C11:C12">
    <cfRule type="expression" dxfId="52" priority="48">
      <formula>IF(E4&lt;3,"Sant","Falskt")</formula>
    </cfRule>
    <cfRule type="expression" dxfId="51" priority="49">
      <formula>IF(E4&gt;7,"Sant","Falskt")</formula>
    </cfRule>
  </conditionalFormatting>
  <hyperlinks>
    <hyperlink ref="D24" location="Introduktion!A1" display="Till Introduktion" xr:uid="{7C3130D2-F373-4EE2-9FCD-B56B51726632}"/>
    <hyperlink ref="D23" location="Resultattabell!A1" display="Till Resultattabell" xr:uid="{61B79383-74CE-43A1-BC5A-C17A8C7F8F86}"/>
  </hyperlinks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08280A9E-BCF0-40F8-BC07-859258AA3A6E}">
            <xm:f>Tabeller!$B$24="Ja"</xm:f>
            <x14:dxf>
              <font>
                <strike val="0"/>
                <color theme="0" tint="-0.24994659260841701"/>
              </font>
            </x14:dxf>
          </x14:cfRule>
          <xm:sqref>B18:C18</xm:sqref>
        </x14:conditionalFormatting>
        <x14:conditionalFormatting xmlns:xm="http://schemas.microsoft.com/office/excel/2006/main">
          <x14:cfRule type="expression" priority="8" id="{53AC0AED-FA48-4474-9A87-B1DFEA0FEFA4}">
            <xm:f>Tabeller!$B$24="Ja"</xm:f>
            <x14:dxf>
              <font>
                <strike val="0"/>
                <color theme="0" tint="-0.24994659260841701"/>
              </font>
            </x14:dxf>
          </x14:cfRule>
          <xm:sqref>B7:C8</xm:sqref>
        </x14:conditionalFormatting>
        <x14:conditionalFormatting xmlns:xm="http://schemas.microsoft.com/office/excel/2006/main">
          <x14:cfRule type="expression" priority="7" id="{2A724B09-7D29-41D1-A61D-9429A4543148}">
            <xm:f>Tabeller!$B$25="Ja"</xm:f>
            <x14:dxf>
              <font>
                <strike val="0"/>
                <color theme="0" tint="-0.24994659260841701"/>
              </font>
            </x14:dxf>
          </x14:cfRule>
          <xm:sqref>B7:C7</xm:sqref>
        </x14:conditionalFormatting>
        <x14:conditionalFormatting xmlns:xm="http://schemas.microsoft.com/office/excel/2006/main">
          <x14:cfRule type="expression" priority="6" id="{131FF9E8-4A70-4962-83F9-48DC904E956D}">
            <xm:f>Tabeller!$B$26="Ja"</xm:f>
            <x14:dxf>
              <font>
                <strike val="0"/>
                <color theme="0" tint="-0.24994659260841701"/>
              </font>
            </x14:dxf>
          </x14:cfRule>
          <xm:sqref>B8:C9</xm:sqref>
        </x14:conditionalFormatting>
        <x14:conditionalFormatting xmlns:xm="http://schemas.microsoft.com/office/excel/2006/main">
          <x14:cfRule type="expression" priority="5" id="{F7AB057F-472B-4010-9938-4CDC1A8037B6}">
            <xm:f>Tabeller!$B$24="Ja"</xm:f>
            <x14:dxf>
              <font>
                <color theme="2" tint="-9.9948118533890809E-2"/>
              </font>
            </x14:dxf>
          </x14:cfRule>
          <xm:sqref>B15</xm:sqref>
        </x14:conditionalFormatting>
        <x14:conditionalFormatting xmlns:xm="http://schemas.microsoft.com/office/excel/2006/main">
          <x14:cfRule type="expression" priority="4" id="{9A80B61B-6439-4066-B77E-1F15A372829F}">
            <xm:f>Tabeller!$B$27="Ja"</xm:f>
            <x14:dxf>
              <font>
                <color theme="2" tint="-9.9948118533890809E-2"/>
              </font>
            </x14:dxf>
          </x14:cfRule>
          <xm:sqref>B14</xm:sqref>
        </x14:conditionalFormatting>
        <x14:conditionalFormatting xmlns:xm="http://schemas.microsoft.com/office/excel/2006/main">
          <x14:cfRule type="expression" priority="3" id="{1569D569-216B-41C0-A3B4-129E5BBC0631}">
            <xm:f>Tabeller!$B$24="Ja"</xm:f>
            <x14:dxf>
              <font>
                <strike val="0"/>
                <color theme="0" tint="-0.24994659260841701"/>
              </font>
            </x14:dxf>
          </x14:cfRule>
          <xm:sqref>C9</xm:sqref>
        </x14:conditionalFormatting>
        <x14:conditionalFormatting xmlns:xm="http://schemas.microsoft.com/office/excel/2006/main">
          <x14:cfRule type="expression" priority="2" id="{C60CFA29-4F87-4F26-9F35-5DDDB6084C2A}">
            <xm:f>Tabeller!$B$26="Ja"</xm:f>
            <x14:dxf>
              <font>
                <strike val="0"/>
                <color theme="0" tint="-0.24994659260841701"/>
              </font>
            </x14:dxf>
          </x14:cfRule>
          <xm:sqref>C9</xm:sqref>
        </x14:conditionalFormatting>
        <x14:conditionalFormatting xmlns:xm="http://schemas.microsoft.com/office/excel/2006/main">
          <x14:cfRule type="expression" priority="1" id="{B20EC78C-4F1C-4FF1-9164-B2014C4BCE2B}">
            <xm:f>Tabeller!$B$24="Ja"</xm:f>
            <x14:dxf>
              <font>
                <strike val="0"/>
                <color theme="0" tint="-0.24994659260841701"/>
              </font>
            </x14:dxf>
          </x14:cfRule>
          <xm:sqref>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Tabeller!$A$131:$A$146</xm:f>
          </x14:formula1>
          <xm:sqref>B12:B13</xm:sqref>
        </x14:dataValidation>
        <x14:dataValidation type="list" allowBlank="1" showInputMessage="1" showErrorMessage="1" xr:uid="{00000000-0002-0000-0500-000001000000}">
          <x14:formula1>
            <xm:f>Tabeller!$A$153:$A$155</xm:f>
          </x14:formula1>
          <xm:sqref>D15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558-6037-4967-935B-CECAD1DB4857}">
  <dimension ref="B2:F28"/>
  <sheetViews>
    <sheetView workbookViewId="0">
      <selection activeCell="B4" sqref="B4"/>
    </sheetView>
  </sheetViews>
  <sheetFormatPr defaultRowHeight="14" x14ac:dyDescent="0.3"/>
  <cols>
    <col min="1" max="1" width="3.25" customWidth="1"/>
    <col min="2" max="2" width="27.83203125" bestFit="1" customWidth="1"/>
    <col min="6" max="6" width="10.25" customWidth="1"/>
  </cols>
  <sheetData>
    <row r="2" spans="2:6" x14ac:dyDescent="0.3">
      <c r="C2" t="s">
        <v>339</v>
      </c>
      <c r="D2" t="s">
        <v>340</v>
      </c>
      <c r="E2" t="s">
        <v>341</v>
      </c>
      <c r="F2" t="s">
        <v>227</v>
      </c>
    </row>
    <row r="3" spans="2:6" x14ac:dyDescent="0.3">
      <c r="B3" t="str">
        <f>IF(OR(Resultattabell!C5="",Inriktning="Annan"),"","Överskott av kväve")</f>
        <v/>
      </c>
      <c r="C3">
        <v>87.5</v>
      </c>
      <c r="D3">
        <v>50</v>
      </c>
      <c r="E3">
        <v>12.5</v>
      </c>
      <c r="F3" s="180">
        <f>IFERROR(100*Tabeller!C275,100)</f>
        <v>100</v>
      </c>
    </row>
    <row r="4" spans="2:6" x14ac:dyDescent="0.3">
      <c r="B4" t="str">
        <f>IF(Resultattabell!C6="","","Balans fosfor")</f>
        <v/>
      </c>
      <c r="C4">
        <v>87.5</v>
      </c>
      <c r="D4">
        <v>50</v>
      </c>
      <c r="E4">
        <v>12.5</v>
      </c>
      <c r="F4" s="180">
        <f>IFERROR(100*Tabeller!C276,100)</f>
        <v>100</v>
      </c>
    </row>
    <row r="5" spans="2:6" x14ac:dyDescent="0.3">
      <c r="B5" t="str">
        <f>IF(Resultattabell!C7="","","Kväveutlakning")</f>
        <v/>
      </c>
      <c r="C5">
        <v>87.5</v>
      </c>
      <c r="D5">
        <v>50</v>
      </c>
      <c r="E5">
        <v>12.5</v>
      </c>
      <c r="F5" s="180">
        <f>IFERROR(100*Tabeller!C277,100)</f>
        <v>100</v>
      </c>
    </row>
    <row r="6" spans="2:6" x14ac:dyDescent="0.3">
      <c r="B6" t="str">
        <f>IF(Resultattabell!C8="","","N-effektivitet utfodring")</f>
        <v/>
      </c>
      <c r="C6">
        <v>87.5</v>
      </c>
      <c r="D6">
        <v>50</v>
      </c>
      <c r="E6">
        <v>12.5</v>
      </c>
      <c r="F6" s="180">
        <f>IFERROR(100*Tabeller!C278,100)</f>
        <v>100</v>
      </c>
    </row>
    <row r="7" spans="2:6" x14ac:dyDescent="0.3">
      <c r="B7" t="str">
        <f>IF(Resultattabell!C9="","","Ammoniakavgång")</f>
        <v/>
      </c>
      <c r="C7">
        <v>87.5</v>
      </c>
      <c r="D7">
        <v>50</v>
      </c>
      <c r="E7">
        <v>12.5</v>
      </c>
      <c r="F7" s="180">
        <f>IF(B70="",100,IFERROR(100*Tabeller!C279,100))</f>
        <v>100</v>
      </c>
    </row>
    <row r="8" spans="2:6" x14ac:dyDescent="0.3">
      <c r="B8" t="str">
        <f>IF(Resultattabell!C10="","","Precisionsodling")</f>
        <v/>
      </c>
      <c r="C8">
        <v>87.5</v>
      </c>
      <c r="D8">
        <v>50</v>
      </c>
      <c r="E8">
        <v>12.5</v>
      </c>
      <c r="F8" s="180">
        <f>IFERROR(100*Tabeller!C280,100)</f>
        <v>100</v>
      </c>
    </row>
    <row r="9" spans="2:6" x14ac:dyDescent="0.3">
      <c r="B9" t="str">
        <f>IF(Resultattabell!C11="","","Markbördighet")</f>
        <v/>
      </c>
      <c r="C9">
        <v>87.5</v>
      </c>
      <c r="D9">
        <v>50</v>
      </c>
      <c r="E9">
        <v>12.5</v>
      </c>
      <c r="F9" s="180">
        <f>IFERROR(100*Tabeller!C281,100)</f>
        <v>100</v>
      </c>
    </row>
    <row r="10" spans="2:6" x14ac:dyDescent="0.3">
      <c r="B10" s="94" t="str">
        <f>IF(Resultattabell!C18="","","Växtskydd Hantera")</f>
        <v/>
      </c>
      <c r="C10">
        <v>87.5</v>
      </c>
      <c r="D10">
        <v>50</v>
      </c>
      <c r="E10">
        <v>12.5</v>
      </c>
      <c r="F10" s="180">
        <f>IFERROR(100*Tabeller!C282,100)</f>
        <v>100</v>
      </c>
    </row>
    <row r="11" spans="2:6" x14ac:dyDescent="0.3">
      <c r="B11" s="94" t="str">
        <f>IF(Resultattabell!C19="","","Växtskydd Förebygga")</f>
        <v/>
      </c>
      <c r="C11">
        <v>87.5</v>
      </c>
      <c r="D11">
        <v>50</v>
      </c>
      <c r="E11">
        <v>12.5</v>
      </c>
      <c r="F11" s="180">
        <f>IFERROR(100*Tabeller!C283,100)</f>
        <v>100</v>
      </c>
    </row>
    <row r="12" spans="2:6" x14ac:dyDescent="0.3">
      <c r="B12" s="94" t="str">
        <f>IF(Resultattabell!C20="","","Växtskydd Bevaka")</f>
        <v/>
      </c>
      <c r="C12">
        <v>87.5</v>
      </c>
      <c r="D12">
        <v>50</v>
      </c>
      <c r="E12">
        <v>12.5</v>
      </c>
      <c r="F12" s="180">
        <f>IFERROR(100*Tabeller!C284,100)</f>
        <v>100</v>
      </c>
    </row>
    <row r="13" spans="2:6" x14ac:dyDescent="0.3">
      <c r="B13" s="94" t="str">
        <f>IF(Resultattabell!C21="","","Växtskydd Behovsanpassa")</f>
        <v/>
      </c>
      <c r="C13">
        <v>87.5</v>
      </c>
      <c r="D13">
        <v>50</v>
      </c>
      <c r="E13">
        <v>12.5</v>
      </c>
      <c r="F13" s="180">
        <f>IFERROR(100*Tabeller!C285,100)</f>
        <v>100</v>
      </c>
    </row>
    <row r="14" spans="2:6" x14ac:dyDescent="0.3">
      <c r="B14" s="94" t="str">
        <f>IF(Resultattabell!C22="","","Växtskydd Följa upp")</f>
        <v/>
      </c>
      <c r="C14">
        <v>87.5</v>
      </c>
      <c r="D14">
        <v>50</v>
      </c>
      <c r="E14">
        <v>12.5</v>
      </c>
      <c r="F14" s="180">
        <f>IFERROR(100*Tabeller!C286,100)</f>
        <v>100</v>
      </c>
    </row>
    <row r="15" spans="2:6" x14ac:dyDescent="0.3">
      <c r="B15" s="94" t="str">
        <f>IF(Resultattabell!C26="","","Pollinerade insekter")</f>
        <v/>
      </c>
      <c r="C15">
        <v>87.5</v>
      </c>
      <c r="D15">
        <v>50</v>
      </c>
      <c r="E15">
        <v>12.5</v>
      </c>
      <c r="F15" s="180">
        <f>IF(Tabeller!C288="",100,100*Tabeller!C288)</f>
        <v>100</v>
      </c>
    </row>
    <row r="16" spans="2:6" x14ac:dyDescent="0.3">
      <c r="B16" s="94" t="str">
        <f>IF(Resultattabell!C27="","","Nyttodjur")</f>
        <v/>
      </c>
      <c r="C16">
        <v>87.5</v>
      </c>
      <c r="D16">
        <v>50</v>
      </c>
      <c r="E16">
        <v>12.5</v>
      </c>
      <c r="F16" s="180">
        <f>IF(Tabeller!C289="",100,100*Tabeller!C289)</f>
        <v>100</v>
      </c>
    </row>
    <row r="17" spans="2:6" x14ac:dyDescent="0.3">
      <c r="B17" s="94" t="str">
        <f>IF(Resultattabell!C28="","","Fåglar")</f>
        <v/>
      </c>
      <c r="C17">
        <v>87.5</v>
      </c>
      <c r="D17">
        <v>50</v>
      </c>
      <c r="E17">
        <v>12.5</v>
      </c>
      <c r="F17" s="180">
        <f>IF(Tabeller!C290="",100,100*Tabeller!C290)</f>
        <v>100</v>
      </c>
    </row>
    <row r="18" spans="2:6" x14ac:dyDescent="0.3">
      <c r="B18" s="94" t="str">
        <f>IF(Resultattabell!C29="","","Fältvilt")</f>
        <v/>
      </c>
      <c r="C18">
        <v>87.5</v>
      </c>
      <c r="D18">
        <v>50</v>
      </c>
      <c r="E18">
        <v>12.5</v>
      </c>
      <c r="F18" s="180">
        <f>IF(Tabeller!C291="",100,100*Tabeller!C291)</f>
        <v>100</v>
      </c>
    </row>
    <row r="19" spans="2:6" x14ac:dyDescent="0.3">
      <c r="B19" s="94" t="str">
        <f>IF(Resultattabell!C30="","","Bete")</f>
        <v/>
      </c>
      <c r="C19">
        <v>87.5</v>
      </c>
      <c r="D19">
        <v>50</v>
      </c>
      <c r="E19">
        <v>12.5</v>
      </c>
      <c r="F19" s="180">
        <f>IF(Tabeller!C292="",100,100*Tabeller!C292)</f>
        <v>100</v>
      </c>
    </row>
    <row r="20" spans="2:6" x14ac:dyDescent="0.3">
      <c r="B20" s="94" t="str">
        <f>IF(Resultattabell!C35="","","Klimatavtryck Mjölk")</f>
        <v/>
      </c>
      <c r="C20">
        <v>87.5</v>
      </c>
      <c r="D20">
        <v>50</v>
      </c>
      <c r="E20">
        <v>12.5</v>
      </c>
      <c r="F20" s="180">
        <f>IFERROR(100*Tabeller!C294,100)</f>
        <v>100</v>
      </c>
    </row>
    <row r="21" spans="2:6" x14ac:dyDescent="0.3">
      <c r="B21" s="94" t="str">
        <f>IF(OR(Resultattabell!C36="",Inriktning="Annan"),"","Klimatavtryck Kött")</f>
        <v/>
      </c>
      <c r="C21">
        <v>87.5</v>
      </c>
      <c r="D21">
        <v>50</v>
      </c>
      <c r="E21">
        <v>12.5</v>
      </c>
      <c r="F21" s="180">
        <f>IFERROR(100*Tabeller!C295,100)</f>
        <v>100</v>
      </c>
    </row>
    <row r="22" spans="2:6" x14ac:dyDescent="0.3">
      <c r="B22" s="94" t="str">
        <f>IF(Resultattabell!C37="","",CONCATENATE("Klimatavtryck ",'Klimat och Energi'!B12))</f>
        <v/>
      </c>
      <c r="C22">
        <v>87.5</v>
      </c>
      <c r="D22">
        <v>50</v>
      </c>
      <c r="E22">
        <v>12.5</v>
      </c>
      <c r="F22" s="180">
        <f>IFERROR(100*Tabeller!C296,100)</f>
        <v>100</v>
      </c>
    </row>
    <row r="23" spans="2:6" x14ac:dyDescent="0.3">
      <c r="B23" s="94" t="str">
        <f>IF(Resultattabell!C38="","",CONCATENATE("Klimatavtryck ",'Klimat och Energi'!B13))</f>
        <v/>
      </c>
      <c r="C23">
        <v>87.5</v>
      </c>
      <c r="D23">
        <v>50</v>
      </c>
      <c r="E23">
        <v>12.5</v>
      </c>
      <c r="F23" s="180">
        <f>IFERROR(100*Tabeller!C297,100)</f>
        <v>100</v>
      </c>
    </row>
    <row r="24" spans="2:6" x14ac:dyDescent="0.3">
      <c r="B24" t="str">
        <f>IF(Resultattabell!C39="","","Andel BAT-gödsel")</f>
        <v/>
      </c>
      <c r="C24">
        <v>87.5</v>
      </c>
      <c r="D24">
        <v>50</v>
      </c>
      <c r="E24">
        <v>12.5</v>
      </c>
      <c r="F24" s="180">
        <f>IFERROR(100*Tabeller!C298,100)</f>
        <v>100</v>
      </c>
    </row>
    <row r="25" spans="2:6" x14ac:dyDescent="0.3">
      <c r="B25" t="str">
        <f>IF(Resultattabell!C40="","","Sojanvändning")</f>
        <v/>
      </c>
      <c r="C25">
        <v>87.5</v>
      </c>
      <c r="D25">
        <v>50</v>
      </c>
      <c r="E25">
        <v>12.5</v>
      </c>
      <c r="F25" s="180">
        <f>IFERROR(100*Tabeller!C299,100)</f>
        <v>100</v>
      </c>
    </row>
    <row r="26" spans="2:6" x14ac:dyDescent="0.3">
      <c r="B26" t="str">
        <f>IF(OR(Resultattabell!C43="",Inriktning="Annan"),"","Energianvändning per kg produkt")</f>
        <v/>
      </c>
      <c r="C26">
        <v>87.5</v>
      </c>
      <c r="D26">
        <v>50</v>
      </c>
      <c r="E26">
        <v>12.5</v>
      </c>
      <c r="F26" s="180">
        <f>IFERROR(100*Tabeller!C300,100)</f>
        <v>100</v>
      </c>
    </row>
    <row r="27" spans="2:6" x14ac:dyDescent="0.3">
      <c r="B27" t="str">
        <f>IF(Resultattabell!C44="","","Andel förnybart drivmedel")</f>
        <v/>
      </c>
      <c r="C27">
        <v>87.5</v>
      </c>
      <c r="D27">
        <v>50</v>
      </c>
      <c r="E27">
        <v>12.5</v>
      </c>
      <c r="F27" s="180">
        <f>IFERROR(100*Tabeller!C301,100)</f>
        <v>100</v>
      </c>
    </row>
    <row r="28" spans="2:6" x14ac:dyDescent="0.3">
      <c r="B28" t="str">
        <f>IF(Resultattabell!C45="","","Andel förnybar el")</f>
        <v/>
      </c>
      <c r="C28">
        <v>87.5</v>
      </c>
      <c r="D28">
        <v>50</v>
      </c>
      <c r="E28">
        <v>12.5</v>
      </c>
      <c r="F28" s="180">
        <f>IFERROR(100*Tabeller!C302,100)</f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2</vt:i4>
      </vt:variant>
    </vt:vector>
  </HeadingPairs>
  <TitlesOfParts>
    <vt:vector size="15" baseType="lpstr">
      <vt:lpstr>Introduktion</vt:lpstr>
      <vt:lpstr>Övergödning</vt:lpstr>
      <vt:lpstr>Ammoniak</vt:lpstr>
      <vt:lpstr>Utlakning</vt:lpstr>
      <vt:lpstr>Markhälsa</vt:lpstr>
      <vt:lpstr>Växtskydd</vt:lpstr>
      <vt:lpstr>Biologisk mångfald</vt:lpstr>
      <vt:lpstr>Klimat och Energi</vt:lpstr>
      <vt:lpstr>Figur</vt:lpstr>
      <vt:lpstr>Resultattabell</vt:lpstr>
      <vt:lpstr>Tabeller</vt:lpstr>
      <vt:lpstr>Ammoniaktabell</vt:lpstr>
      <vt:lpstr>Läckagetabell</vt:lpstr>
      <vt:lpstr>Inriktning</vt:lpstr>
      <vt:lpstr>Tabellen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Dan-Axel Danielsson</dc:creator>
  <cp:lastModifiedBy>Maria Stenberg</cp:lastModifiedBy>
  <cp:lastPrinted>2022-06-09T08:13:07Z</cp:lastPrinted>
  <dcterms:created xsi:type="dcterms:W3CDTF">2021-04-07T08:36:25Z</dcterms:created>
  <dcterms:modified xsi:type="dcterms:W3CDTF">2025-02-07T10:38:35Z</dcterms:modified>
</cp:coreProperties>
</file>