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G:\avdelning\Växt- och kontrollavdelningen\3 Greppa\MODULUNDERLAG\41C Endags utfodringskontroll\Nytt material\"/>
    </mc:Choice>
  </mc:AlternateContent>
  <xr:revisionPtr revIDLastSave="0" documentId="13_ncr:1_{2292D6AB-3643-4693-95F8-29C02690BF87}" xr6:coauthVersionLast="36" xr6:coauthVersionMax="36" xr10:uidLastSave="{00000000-0000-0000-0000-000000000000}"/>
  <bookViews>
    <workbookView xWindow="1956" yWindow="1320" windowWidth="9840" windowHeight="6168" xr2:uid="{00000000-000D-0000-FFFF-FFFF00000000}"/>
  </bookViews>
  <sheets>
    <sheet name=" endagars" sheetId="10" r:id="rId1"/>
  </sheets>
  <definedNames>
    <definedName name="_xlnm.Print_Area" localSheetId="0">' endagars'!$A$1:$N$68</definedName>
  </definedNames>
  <calcPr calcId="191029"/>
</workbook>
</file>

<file path=xl/calcChain.xml><?xml version="1.0" encoding="utf-8"?>
<calcChain xmlns="http://schemas.openxmlformats.org/spreadsheetml/2006/main">
  <c r="Q5" i="10" l="1"/>
  <c r="Q10" i="10"/>
  <c r="S10" i="10" s="1"/>
  <c r="R11" i="10"/>
  <c r="V11" i="10" s="1"/>
  <c r="V12" i="10" s="1"/>
  <c r="T11" i="10"/>
  <c r="T12" i="10" s="1"/>
  <c r="Q12" i="10"/>
  <c r="U11" i="10" l="1"/>
  <c r="U12" i="10" s="1"/>
  <c r="S11" i="10"/>
  <c r="S12" i="10" s="1"/>
  <c r="U10" i="10"/>
  <c r="T10" i="10"/>
  <c r="V10" i="10"/>
  <c r="AA27" i="10" l="1"/>
  <c r="AA26" i="10"/>
  <c r="AA25" i="10"/>
  <c r="AA21" i="10" l="1"/>
  <c r="AA22" i="10"/>
  <c r="AA23" i="10"/>
  <c r="AA24" i="10"/>
  <c r="AA28" i="10"/>
  <c r="C8" i="10"/>
  <c r="P29" i="10"/>
  <c r="E12" i="10"/>
  <c r="D40" i="10" s="1"/>
  <c r="D41" i="10" s="1"/>
  <c r="C14" i="10"/>
  <c r="D14" i="10"/>
  <c r="AA18" i="10"/>
  <c r="AA19" i="10"/>
  <c r="AA20" i="10"/>
  <c r="J59" i="10"/>
  <c r="B29" i="10"/>
  <c r="B32" i="10" s="1"/>
  <c r="B13" i="10"/>
  <c r="D13" i="10"/>
  <c r="C13" i="10"/>
  <c r="A35" i="10"/>
  <c r="B37" i="10"/>
  <c r="B36" i="10"/>
  <c r="Q8" i="10" l="1"/>
  <c r="Q6" i="10"/>
  <c r="Q25" i="10"/>
  <c r="R25" i="10" s="1"/>
  <c r="Q26" i="10"/>
  <c r="R26" i="10" s="1"/>
  <c r="Q27" i="10"/>
  <c r="R27" i="10" s="1"/>
  <c r="Q21" i="10"/>
  <c r="R21" i="10" s="1"/>
  <c r="E13" i="10"/>
  <c r="Q22" i="10"/>
  <c r="R22" i="10" s="1"/>
  <c r="AA29" i="10"/>
  <c r="Q24" i="10"/>
  <c r="R24" i="10" s="1"/>
  <c r="Q23" i="10"/>
  <c r="R23" i="10" s="1"/>
  <c r="Q28" i="10"/>
  <c r="R28" i="10" s="1"/>
  <c r="B9" i="10"/>
  <c r="R4" i="10" s="1"/>
  <c r="B14" i="10"/>
  <c r="Q19" i="10"/>
  <c r="R19" i="10" s="1"/>
  <c r="Q20" i="10"/>
  <c r="R20" i="10" s="1"/>
  <c r="Q18" i="10"/>
  <c r="T4" i="10" l="1"/>
  <c r="T5" i="10" s="1"/>
  <c r="S4" i="10"/>
  <c r="V4" i="10"/>
  <c r="U4" i="10"/>
  <c r="U5" i="10" s="1"/>
  <c r="U6" i="10"/>
  <c r="S26" i="10"/>
  <c r="Z26" i="10"/>
  <c r="AD26" i="10"/>
  <c r="V26" i="10"/>
  <c r="Y26" i="10"/>
  <c r="W26" i="10"/>
  <c r="AC26" i="10" s="1"/>
  <c r="U26" i="10"/>
  <c r="T26" i="10"/>
  <c r="X26" i="10"/>
  <c r="AB26" i="10"/>
  <c r="U27" i="10"/>
  <c r="AB27" i="10"/>
  <c r="T27" i="10"/>
  <c r="W27" i="10"/>
  <c r="AC27" i="10" s="1"/>
  <c r="V27" i="10"/>
  <c r="S27" i="10"/>
  <c r="Y27" i="10"/>
  <c r="AD27" i="10"/>
  <c r="Z27" i="10"/>
  <c r="X27" i="10"/>
  <c r="Y25" i="10"/>
  <c r="X25" i="10"/>
  <c r="AB25" i="10"/>
  <c r="T25" i="10"/>
  <c r="Z25" i="10"/>
  <c r="W25" i="10"/>
  <c r="AC25" i="10" s="1"/>
  <c r="AD25" i="10"/>
  <c r="U25" i="10"/>
  <c r="V25" i="10"/>
  <c r="S25" i="10"/>
  <c r="B51" i="10"/>
  <c r="B52" i="10" s="1"/>
  <c r="D55" i="10"/>
  <c r="X21" i="10"/>
  <c r="W21" i="10"/>
  <c r="AC21" i="10" s="1"/>
  <c r="AD21" i="10"/>
  <c r="V21" i="10"/>
  <c r="U21" i="10"/>
  <c r="AB21" i="10"/>
  <c r="T21" i="10"/>
  <c r="S21" i="10"/>
  <c r="Z21" i="10"/>
  <c r="Y21" i="10"/>
  <c r="V23" i="10"/>
  <c r="AD23" i="10"/>
  <c r="Y23" i="10"/>
  <c r="T23" i="10"/>
  <c r="W23" i="10"/>
  <c r="AC23" i="10" s="1"/>
  <c r="X23" i="10"/>
  <c r="AB23" i="10"/>
  <c r="U23" i="10"/>
  <c r="Z23" i="10"/>
  <c r="S23" i="10"/>
  <c r="X24" i="10"/>
  <c r="S24" i="10"/>
  <c r="V24" i="10"/>
  <c r="Y24" i="10"/>
  <c r="Z24" i="10"/>
  <c r="U24" i="10"/>
  <c r="W24" i="10"/>
  <c r="AC24" i="10" s="1"/>
  <c r="T24" i="10"/>
  <c r="AB24" i="10"/>
  <c r="AD24" i="10"/>
  <c r="T22" i="10"/>
  <c r="AB22" i="10"/>
  <c r="W22" i="10"/>
  <c r="AC22" i="10" s="1"/>
  <c r="S22" i="10"/>
  <c r="U22" i="10"/>
  <c r="V22" i="10"/>
  <c r="AD22" i="10"/>
  <c r="Z22" i="10"/>
  <c r="X22" i="10"/>
  <c r="Y22" i="10"/>
  <c r="AB28" i="10"/>
  <c r="T28" i="10"/>
  <c r="S28" i="10"/>
  <c r="Z28" i="10"/>
  <c r="Y28" i="10"/>
  <c r="W28" i="10"/>
  <c r="AC28" i="10" s="1"/>
  <c r="AD28" i="10"/>
  <c r="V28" i="10"/>
  <c r="U28" i="10"/>
  <c r="X28" i="10"/>
  <c r="E14" i="10"/>
  <c r="R7" i="10" s="1"/>
  <c r="K44" i="10"/>
  <c r="F42" i="10"/>
  <c r="K45" i="10"/>
  <c r="R18" i="10"/>
  <c r="Q29" i="10"/>
  <c r="U19" i="10"/>
  <c r="Z19" i="10"/>
  <c r="W19" i="10"/>
  <c r="AC19" i="10" s="1"/>
  <c r="Y19" i="10"/>
  <c r="AD19" i="10"/>
  <c r="V19" i="10"/>
  <c r="AB19" i="10"/>
  <c r="T19" i="10"/>
  <c r="X19" i="10"/>
  <c r="S19" i="10"/>
  <c r="S20" i="10"/>
  <c r="Z20" i="10"/>
  <c r="U20" i="10"/>
  <c r="W20" i="10"/>
  <c r="AC20" i="10" s="1"/>
  <c r="T20" i="10"/>
  <c r="V20" i="10"/>
  <c r="AD20" i="10"/>
  <c r="AB20" i="10"/>
  <c r="X20" i="10"/>
  <c r="Y20" i="10"/>
  <c r="V6" i="10" l="1"/>
  <c r="V5" i="10"/>
  <c r="S7" i="10"/>
  <c r="S5" i="10"/>
  <c r="U7" i="10"/>
  <c r="U8" i="10" s="1"/>
  <c r="U13" i="10" s="1"/>
  <c r="V7" i="10"/>
  <c r="V8" i="10" s="1"/>
  <c r="V13" i="10" s="1"/>
  <c r="B53" i="10"/>
  <c r="E42" i="10"/>
  <c r="S18" i="10"/>
  <c r="S29" i="10" s="1"/>
  <c r="Z18" i="10"/>
  <c r="Z29" i="10" s="1"/>
  <c r="R29" i="10"/>
  <c r="T18" i="10"/>
  <c r="T29" i="10" s="1"/>
  <c r="W18" i="10"/>
  <c r="AB18" i="10"/>
  <c r="AB29" i="10" s="1"/>
  <c r="Y18" i="10"/>
  <c r="Y29" i="10" s="1"/>
  <c r="V18" i="10"/>
  <c r="V29" i="10" s="1"/>
  <c r="AD18" i="10"/>
  <c r="AD29" i="10" s="1"/>
  <c r="X18" i="10"/>
  <c r="X29" i="10" s="1"/>
  <c r="U18" i="10"/>
  <c r="U29" i="10" s="1"/>
  <c r="W11" i="10" l="1"/>
  <c r="W12" i="10" s="1"/>
  <c r="W7" i="10"/>
  <c r="W8" i="10" s="1"/>
  <c r="T7" i="10"/>
  <c r="T8" i="10" s="1"/>
  <c r="T13" i="10" s="1"/>
  <c r="S8" i="10"/>
  <c r="S13" i="10" s="1"/>
  <c r="X30" i="10"/>
  <c r="X32" i="10" s="1"/>
  <c r="I45" i="10" s="1"/>
  <c r="I51" i="10"/>
  <c r="Y30" i="10"/>
  <c r="Y32" i="10" s="1"/>
  <c r="I47" i="10" s="1"/>
  <c r="V30" i="10"/>
  <c r="I43" i="10"/>
  <c r="AB30" i="10"/>
  <c r="I46" i="10"/>
  <c r="W29" i="10"/>
  <c r="AC18" i="10"/>
  <c r="AC29" i="10" s="1"/>
  <c r="T30" i="10"/>
  <c r="D48" i="10" s="1"/>
  <c r="I40" i="10"/>
  <c r="I42" i="10"/>
  <c r="U30" i="10"/>
  <c r="I41" i="10"/>
  <c r="D42" i="10"/>
  <c r="R30" i="10"/>
  <c r="D47" i="10"/>
  <c r="C59" i="10"/>
  <c r="AA30" i="10"/>
  <c r="AA32" i="10" s="1"/>
  <c r="Z30" i="10"/>
  <c r="Z32" i="10" s="1"/>
  <c r="I48" i="10" s="1"/>
  <c r="J62" i="10"/>
  <c r="AD30" i="10"/>
  <c r="AD32" i="10" s="1"/>
  <c r="D43" i="10"/>
  <c r="S30" i="10"/>
  <c r="W13" i="10" l="1"/>
  <c r="I53" i="10"/>
  <c r="I52" i="10"/>
  <c r="C63" i="10"/>
  <c r="D44" i="10"/>
  <c r="D46" i="10" s="1"/>
  <c r="I56" i="10"/>
  <c r="W30" i="10"/>
  <c r="W32" i="10" s="1"/>
  <c r="I44" i="10" s="1"/>
  <c r="AC30" i="10"/>
  <c r="AC32" i="10" s="1"/>
  <c r="I57" i="10"/>
  <c r="D45" i="10"/>
  <c r="C62" i="10" l="1"/>
  <c r="C58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  Åkerlind</author>
    <author>Rolf Spörndly</author>
    <author>Carin Clason</author>
  </authors>
  <commentList>
    <comment ref="F4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
Uppbundet =0
Lösdrift =1</t>
        </r>
      </text>
    </comment>
    <comment ref="P4" authorId="0" shapeId="0" xr:uid="{00000000-0006-0000-0000-000002000000}">
      <text>
        <r>
          <rPr>
            <sz val="8"/>
            <color indexed="81"/>
            <rFont val="Tahoma"/>
            <family val="2"/>
          </rPr>
          <t>Dagligt underhållsbehov per ko</t>
        </r>
      </text>
    </comment>
    <comment ref="R4" authorId="0" shapeId="0" xr:uid="{00000000-0006-0000-0000-000003000000}">
      <text>
        <r>
          <rPr>
            <sz val="8"/>
            <color indexed="81"/>
            <rFont val="Tahoma"/>
            <family val="2"/>
          </rPr>
          <t>Genomsnittlig vikt</t>
        </r>
      </text>
    </comment>
    <comment ref="S4" authorId="0" shapeId="0" xr:uid="{00000000-0006-0000-0000-000004000000}">
      <text>
        <r>
          <rPr>
            <sz val="8"/>
            <color indexed="81"/>
            <rFont val="Tahoma"/>
            <family val="2"/>
          </rPr>
          <t>Energi Underhållsbehov per ko=(Vikt upphöjt till 0,75)*0,517.
Fodermedelstabell 1999</t>
        </r>
      </text>
    </comment>
    <comment ref="T4" authorId="0" shapeId="0" xr:uid="{00000000-0006-0000-0000-000005000000}">
      <text>
        <r>
          <rPr>
            <sz val="8"/>
            <color indexed="81"/>
            <rFont val="Tahoma"/>
            <family val="2"/>
          </rPr>
          <t>AAT-underhåll=(vikt upphöjt till 0,75)*3,25
Fodermedelstabell 2003</t>
        </r>
      </text>
    </comment>
    <comment ref="U4" authorId="0" shapeId="0" xr:uid="{00000000-0006-0000-0000-000006000000}">
      <text>
        <r>
          <rPr>
            <sz val="8"/>
            <color indexed="81"/>
            <rFont val="Tahoma"/>
            <family val="2"/>
          </rPr>
          <t>Kalciumbehov för underhåll= 0,03*levandevikt +13. Enligt diagram nedan som är baserad på data från Fodermedelstabellen 2003</t>
        </r>
      </text>
    </comment>
    <comment ref="V4" authorId="0" shapeId="0" xr:uid="{00000000-0006-0000-0000-000007000000}">
      <text>
        <r>
          <rPr>
            <sz val="8"/>
            <color indexed="81"/>
            <rFont val="Tahoma"/>
            <family val="2"/>
          </rPr>
          <t>Fosforbehov för underhåll= 0,02*levande vikt +7. Enligt diagram nedan som är baserad på data från Fodermedelstabel</t>
        </r>
      </text>
    </comment>
    <comment ref="P5" authorId="0" shapeId="0" xr:uid="{00000000-0006-0000-0000-000008000000}">
      <text>
        <r>
          <rPr>
            <sz val="8"/>
            <color indexed="81"/>
            <rFont val="Tahoma"/>
            <family val="2"/>
          </rPr>
          <t>Summa underhållsbehov för dräktiga kor i tillvänjningsperioden</t>
        </r>
      </text>
    </comment>
    <comment ref="Q5" authorId="0" shapeId="0" xr:uid="{00000000-0006-0000-0000-000009000000}">
      <text>
        <r>
          <rPr>
            <sz val="8"/>
            <color indexed="81"/>
            <rFont val="Tahoma"/>
            <family val="2"/>
          </rPr>
          <t>Antal kor på tillvänjning</t>
        </r>
      </text>
    </comment>
    <comment ref="S5" authorId="0" shapeId="0" xr:uid="{00000000-0006-0000-0000-00000A000000}">
      <text>
        <r>
          <rPr>
            <sz val="8"/>
            <color indexed="81"/>
            <rFont val="Tahoma"/>
            <family val="2"/>
          </rPr>
          <t>antal tillvänjningskor*energiunderhållsbehov</t>
        </r>
      </text>
    </comment>
    <comment ref="T5" authorId="0" shapeId="0" xr:uid="{00000000-0006-0000-0000-00000B000000}">
      <text>
        <r>
          <rPr>
            <sz val="8"/>
            <color indexed="81"/>
            <rFont val="Tahoma"/>
            <family val="2"/>
          </rPr>
          <t>antal tillvänjningskor*AATunderhållsbehov</t>
        </r>
      </text>
    </comment>
    <comment ref="U5" authorId="0" shapeId="0" xr:uid="{00000000-0006-0000-0000-00000C000000}">
      <text>
        <r>
          <rPr>
            <sz val="8"/>
            <color indexed="81"/>
            <rFont val="Tahoma"/>
            <family val="2"/>
          </rPr>
          <t>antal tillvänjningskor * kalciumunderhållsbehov</t>
        </r>
      </text>
    </comment>
    <comment ref="V5" authorId="0" shapeId="0" xr:uid="{00000000-0006-0000-0000-00000D000000}">
      <text>
        <r>
          <rPr>
            <sz val="8"/>
            <color indexed="81"/>
            <rFont val="Tahoma"/>
            <family val="2"/>
          </rPr>
          <t>antal tillvänjningskor *fosforunderhållsbehov</t>
        </r>
      </text>
    </comment>
    <comment ref="P6" authorId="0" shapeId="0" xr:uid="{00000000-0006-0000-0000-00000E000000}">
      <text>
        <r>
          <rPr>
            <sz val="8"/>
            <color indexed="81"/>
            <rFont val="Tahoma"/>
            <family val="2"/>
          </rPr>
          <t>Underhållsbehov för lakternade kor. Notera att underhåll för energi och AAT beräknas under mjölkproduktionen</t>
        </r>
      </text>
    </comment>
    <comment ref="Q6" authorId="0" shapeId="0" xr:uid="{00000000-0006-0000-0000-00000F000000}">
      <text>
        <r>
          <rPr>
            <sz val="8"/>
            <color indexed="81"/>
            <rFont val="Tahoma"/>
            <family val="2"/>
          </rPr>
          <t>Antal mjölkande. Enbart för beräkningar av underhållsbehov av kalcium och fosfor</t>
        </r>
      </text>
    </comment>
    <comment ref="U6" authorId="0" shapeId="0" xr:uid="{00000000-0006-0000-0000-000010000000}">
      <text>
        <r>
          <rPr>
            <sz val="8"/>
            <color indexed="81"/>
            <rFont val="Tahoma"/>
            <family val="2"/>
          </rPr>
          <t>Antal lakterande kor*klaciumunderhållsbehov</t>
        </r>
      </text>
    </comment>
    <comment ref="V6" authorId="0" shapeId="0" xr:uid="{00000000-0006-0000-0000-000011000000}">
      <text>
        <r>
          <rPr>
            <sz val="8"/>
            <color indexed="81"/>
            <rFont val="Tahoma"/>
            <family val="2"/>
          </rPr>
          <t>antal lakterande kor*fosforunderhållsbehov</t>
        </r>
      </text>
    </comment>
    <comment ref="P7" authorId="0" shapeId="0" xr:uid="{00000000-0006-0000-0000-000012000000}">
      <text>
        <r>
          <rPr>
            <sz val="8"/>
            <color indexed="81"/>
            <rFont val="Tahoma"/>
            <family val="2"/>
          </rPr>
          <t>Behov för mjölkproduktionen</t>
        </r>
      </text>
    </comment>
    <comment ref="R7" authorId="0" shapeId="0" xr:uid="{00000000-0006-0000-0000-000013000000}">
      <text>
        <r>
          <rPr>
            <sz val="8"/>
            <color indexed="81"/>
            <rFont val="Tahoma"/>
            <family val="2"/>
          </rPr>
          <t>Medelavkastning kg ECM per ko o dag</t>
        </r>
      </text>
    </comment>
    <comment ref="S7" authorId="0" shapeId="0" xr:uid="{00000000-0006-0000-0000-000014000000}">
      <text>
        <r>
          <rPr>
            <sz val="8"/>
            <color indexed="81"/>
            <rFont val="Tahoma"/>
            <family val="2"/>
          </rPr>
          <t>Energibehov för mjölk och underhåll per ko=(5*energibehov för mjölk+ underhållsbehov)*1,11-13,6.
Fodermedelstabellen, 2003</t>
        </r>
      </text>
    </comment>
    <comment ref="T7" authorId="0" shapeId="0" xr:uid="{00000000-0006-0000-0000-000015000000}">
      <text>
        <r>
          <rPr>
            <sz val="8"/>
            <color indexed="81"/>
            <rFont val="Tahoma"/>
            <family val="2"/>
          </rPr>
          <t xml:space="preserve">AAT-behov=Energibehov*7,6
Fodermedelstabell 2003
</t>
        </r>
      </text>
    </comment>
    <comment ref="U7" authorId="0" shapeId="0" xr:uid="{00000000-0006-0000-0000-000016000000}">
      <text>
        <r>
          <rPr>
            <sz val="8"/>
            <color indexed="81"/>
            <rFont val="Tahoma"/>
            <family val="2"/>
          </rPr>
          <t>Kalciumbehov=2,6*kg ECM
Fodermedelstabell, 2003</t>
        </r>
      </text>
    </comment>
    <comment ref="V7" authorId="0" shapeId="0" xr:uid="{00000000-0006-0000-0000-000017000000}">
      <text>
        <r>
          <rPr>
            <sz val="8"/>
            <color indexed="81"/>
            <rFont val="Tahoma"/>
            <family val="2"/>
          </rPr>
          <t>Fosforbehov=1,6*kg ECM
Fodermedelstabell, 2003</t>
        </r>
      </text>
    </comment>
    <comment ref="W7" authorId="0" shapeId="0" xr:uid="{00000000-0006-0000-0000-000018000000}">
      <text>
        <r>
          <rPr>
            <sz val="8"/>
            <color indexed="81"/>
            <rFont val="Tahoma"/>
            <family val="2"/>
          </rPr>
          <t xml:space="preserve">Foderetabellen, 2003
</t>
        </r>
      </text>
    </comment>
    <comment ref="Q8" authorId="0" shapeId="0" xr:uid="{00000000-0006-0000-0000-000019000000}">
      <text>
        <r>
          <rPr>
            <sz val="8"/>
            <color indexed="81"/>
            <rFont val="Tahoma"/>
            <family val="2"/>
          </rPr>
          <t>Antal lakterande kor</t>
        </r>
      </text>
    </comment>
    <comment ref="S8" authorId="0" shapeId="0" xr:uid="{00000000-0006-0000-0000-00001A000000}">
      <text>
        <r>
          <rPr>
            <sz val="8"/>
            <color indexed="81"/>
            <rFont val="Tahoma"/>
            <family val="2"/>
          </rPr>
          <t>antal lakterande kor*medelavkastning</t>
        </r>
      </text>
    </comment>
    <comment ref="T8" authorId="0" shapeId="0" xr:uid="{00000000-0006-0000-0000-00001B000000}">
      <text>
        <r>
          <rPr>
            <sz val="8"/>
            <color indexed="81"/>
            <rFont val="Tahoma"/>
            <family val="2"/>
          </rPr>
          <t>AATbehov = antal lakterande kor*AATbehov för lakterande kors underhåll och mjölk</t>
        </r>
      </text>
    </comment>
    <comment ref="U8" authorId="0" shapeId="0" xr:uid="{00000000-0006-0000-0000-00001C000000}">
      <text>
        <r>
          <rPr>
            <sz val="8"/>
            <color indexed="81"/>
            <rFont val="Tahoma"/>
            <family val="2"/>
          </rPr>
          <t>antal lakterande kor*kalciumbehov för mjölkproduktionen</t>
        </r>
      </text>
    </comment>
    <comment ref="V8" authorId="0" shapeId="0" xr:uid="{00000000-0006-0000-0000-00001D000000}">
      <text>
        <r>
          <rPr>
            <sz val="8"/>
            <color indexed="81"/>
            <rFont val="Tahoma"/>
            <family val="2"/>
          </rPr>
          <t xml:space="preserve">antal lakterande kor *fosforbehov för mjölkproduktionen </t>
        </r>
      </text>
    </comment>
    <comment ref="W8" authorId="0" shapeId="0" xr:uid="{00000000-0006-0000-0000-00001E000000}">
      <text>
        <r>
          <rPr>
            <sz val="8"/>
            <color indexed="81"/>
            <rFont val="Tahoma"/>
            <family val="2"/>
          </rPr>
          <t>antal lakterande kor*Evitaminbehov under laktationen</t>
        </r>
      </text>
    </comment>
    <comment ref="P9" authorId="0" shapeId="0" xr:uid="{00000000-0006-0000-0000-00001F000000}">
      <text>
        <r>
          <rPr>
            <sz val="8"/>
            <color indexed="81"/>
            <rFont val="Tahoma"/>
            <family val="2"/>
          </rPr>
          <t>Extra behov för 1:a kalvarnas tillväxt 250g/d</t>
        </r>
      </text>
    </comment>
    <comment ref="S9" authorId="0" shapeId="0" xr:uid="{00000000-0006-0000-0000-000020000000}">
      <text>
        <r>
          <rPr>
            <sz val="8"/>
            <color indexed="81"/>
            <rFont val="Tahoma"/>
            <family val="2"/>
          </rPr>
          <t>Energibehov för 250g daglig tillväxt hos 1:a kalvare = 8MJ/ko o dag
Fodermedelstabell, 2003</t>
        </r>
      </text>
    </comment>
    <comment ref="T9" authorId="0" shapeId="0" xr:uid="{00000000-0006-0000-0000-000021000000}">
      <text>
        <r>
          <rPr>
            <sz val="8"/>
            <color indexed="81"/>
            <rFont val="Tahoma"/>
            <family val="2"/>
          </rPr>
          <t xml:space="preserve">AAT-behov för 250g daglig tillväxt hos 1:a kalvare = 52 AAT/ko o dag
Fodermedelstabell, 2003
</t>
        </r>
      </text>
    </comment>
    <comment ref="U9" authorId="0" shapeId="0" xr:uid="{00000000-0006-0000-0000-000022000000}">
      <text>
        <r>
          <rPr>
            <sz val="8"/>
            <color indexed="81"/>
            <rFont val="Tahoma"/>
            <family val="2"/>
          </rPr>
          <t>Kalciumbehov för 250 g daglig tillväxt hos 1:a-kalvare
Fodermedelstabell 2003</t>
        </r>
      </text>
    </comment>
    <comment ref="V9" authorId="0" shapeId="0" xr:uid="{00000000-0006-0000-0000-000023000000}">
      <text>
        <r>
          <rPr>
            <sz val="8"/>
            <color indexed="81"/>
            <rFont val="Tahoma"/>
            <family val="2"/>
          </rPr>
          <t>Fosforbehov för 250 g daglig tillväxt hos 1:a-kalvare
Fodermedelstabell 2003</t>
        </r>
      </text>
    </comment>
    <comment ref="Q10" authorId="0" shapeId="0" xr:uid="{00000000-0006-0000-0000-000024000000}">
      <text>
        <r>
          <rPr>
            <sz val="8"/>
            <color indexed="81"/>
            <rFont val="Tahoma"/>
            <family val="2"/>
          </rPr>
          <t>Antal 1:a kalvare</t>
        </r>
      </text>
    </comment>
    <comment ref="S10" authorId="0" shapeId="0" xr:uid="{00000000-0006-0000-0000-000025000000}">
      <text>
        <r>
          <rPr>
            <sz val="8"/>
            <color indexed="81"/>
            <rFont val="Tahoma"/>
            <family val="2"/>
          </rPr>
          <t>=antal 1:a kalvare*energibehovet för tillväxt</t>
        </r>
      </text>
    </comment>
    <comment ref="T10" authorId="0" shapeId="0" xr:uid="{00000000-0006-0000-0000-000026000000}">
      <text>
        <r>
          <rPr>
            <sz val="8"/>
            <color indexed="81"/>
            <rFont val="Tahoma"/>
            <family val="2"/>
          </rPr>
          <t>antal 1:a kalvare*AATibehovet för tillväxt</t>
        </r>
      </text>
    </comment>
    <comment ref="U10" authorId="0" shapeId="0" xr:uid="{00000000-0006-0000-0000-000027000000}">
      <text>
        <r>
          <rPr>
            <sz val="8"/>
            <color indexed="81"/>
            <rFont val="Tahoma"/>
            <family val="2"/>
          </rPr>
          <t>antal 1:a kalvare *kalciumbehovet för tillväxt</t>
        </r>
      </text>
    </comment>
    <comment ref="V10" authorId="0" shapeId="0" xr:uid="{00000000-0006-0000-0000-000028000000}">
      <text>
        <r>
          <rPr>
            <sz val="8"/>
            <color indexed="81"/>
            <rFont val="Tahoma"/>
            <family val="2"/>
          </rPr>
          <t>antal 1:a kalvare *fosforbehovet för tillväxt</t>
        </r>
      </text>
    </comment>
    <comment ref="P11" authorId="0" shapeId="0" xr:uid="{00000000-0006-0000-0000-000029000000}">
      <text>
        <r>
          <rPr>
            <sz val="8"/>
            <color indexed="81"/>
            <rFont val="Tahoma"/>
            <family val="2"/>
          </rPr>
          <t>Extra behov för fostertillväxt</t>
        </r>
      </text>
    </comment>
    <comment ref="R11" authorId="0" shapeId="0" xr:uid="{00000000-0006-0000-0000-00002A000000}">
      <text>
        <r>
          <rPr>
            <sz val="8"/>
            <color indexed="81"/>
            <rFont val="Tahoma"/>
            <family val="2"/>
          </rPr>
          <t>Genomsnittlig vikt hos sinkor och kvigor på tillvänjning. Om det ej finns kor på tillvänjning så visas den genomsnittliga vikten på alla kor.</t>
        </r>
      </text>
    </comment>
    <comment ref="S11" authorId="0" shapeId="0" xr:uid="{00000000-0006-0000-0000-00002B000000}">
      <text>
        <r>
          <rPr>
            <sz val="8"/>
            <color indexed="81"/>
            <rFont val="Tahoma"/>
            <family val="2"/>
          </rPr>
          <t>Energibehov för fostertillväxt i 9:e månaden= 0,04*levandevikt -1. Enligt diagram nedan som är baserad på data från Fodermedelstabellen 2003</t>
        </r>
      </text>
    </comment>
    <comment ref="T11" authorId="0" shapeId="0" xr:uid="{00000000-0006-0000-0000-00002C000000}">
      <text>
        <r>
          <rPr>
            <sz val="8"/>
            <color indexed="81"/>
            <rFont val="Tahoma"/>
            <family val="2"/>
          </rPr>
          <t>AATbehov för fostertillväxt i 9:e månaden= 0,238*levande vikt +23,6. Enligt diagram nedan som är baserad på data från Fodermedelstabellen 2003</t>
        </r>
      </text>
    </comment>
    <comment ref="U11" authorId="0" shapeId="0" xr:uid="{00000000-0006-0000-0000-00002D000000}">
      <text>
        <r>
          <rPr>
            <sz val="8"/>
            <color indexed="81"/>
            <rFont val="Tahoma"/>
            <family val="2"/>
          </rPr>
          <t>Kalciumbehov för fostertillväxti 9:e månaden= 0,03*levande vikt. Enligt diagram nedan som är baserad på data från Fodermedelstabellen 2003</t>
        </r>
      </text>
    </comment>
    <comment ref="V11" authorId="0" shapeId="0" xr:uid="{00000000-0006-0000-0000-00002E000000}">
      <text>
        <r>
          <rPr>
            <sz val="8"/>
            <color indexed="81"/>
            <rFont val="Tahoma"/>
            <family val="2"/>
          </rPr>
          <t xml:space="preserve">Fosforebehov för fostertillväxt i 9:e månaden =0,02*levande vikt +1. Enligt diagram nedan som är baserad på data från Fodermedelstabellen 2003
</t>
        </r>
      </text>
    </comment>
    <comment ref="W11" authorId="1" shapeId="0" xr:uid="{00000000-0006-0000-0000-00002F000000}">
      <text>
        <r>
          <rPr>
            <b/>
            <sz val="8"/>
            <color indexed="81"/>
            <rFont val="Tahoma"/>
            <family val="2"/>
          </rPr>
          <t>Fodertabellen, 2003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2" authorId="0" shapeId="0" xr:uid="{00000000-0006-0000-0000-000030000000}">
      <text>
        <r>
          <rPr>
            <sz val="8"/>
            <color indexed="81"/>
            <rFont val="Tahoma"/>
            <family val="2"/>
          </rPr>
          <t>Antal dräktiga för tillvänjning</t>
        </r>
      </text>
    </comment>
    <comment ref="S12" authorId="0" shapeId="0" xr:uid="{00000000-0006-0000-0000-000031000000}">
      <text>
        <r>
          <rPr>
            <sz val="8"/>
            <color indexed="81"/>
            <rFont val="Tahoma"/>
            <family val="2"/>
          </rPr>
          <t>antal kor för tillvänjning*energibehov för dräktighet i ).e månaden</t>
        </r>
      </text>
    </comment>
    <comment ref="T12" authorId="0" shapeId="0" xr:uid="{00000000-0006-0000-0000-000032000000}">
      <text>
        <r>
          <rPr>
            <sz val="8"/>
            <color indexed="81"/>
            <rFont val="Tahoma"/>
            <family val="2"/>
          </rPr>
          <t>antal kor för tillvänjning*AAT-behov för dräktighet i 9:e månaden</t>
        </r>
      </text>
    </comment>
    <comment ref="U12" authorId="0" shapeId="0" xr:uid="{00000000-0006-0000-0000-000033000000}">
      <text>
        <r>
          <rPr>
            <sz val="8"/>
            <color indexed="81"/>
            <rFont val="Tahoma"/>
            <family val="2"/>
          </rPr>
          <t>antal kor för tillvänjning*Ca-behov för dräktighet i 9:e månaden</t>
        </r>
      </text>
    </comment>
    <comment ref="V12" authorId="0" shapeId="0" xr:uid="{00000000-0006-0000-0000-000034000000}">
      <text>
        <r>
          <rPr>
            <sz val="8"/>
            <color indexed="81"/>
            <rFont val="Tahoma"/>
            <family val="2"/>
          </rPr>
          <t>antal kor för tillvänjning*P-behov för dräktighet i 9:e månaden</t>
        </r>
      </text>
    </comment>
    <comment ref="S13" authorId="0" shapeId="0" xr:uid="{00000000-0006-0000-0000-000035000000}">
      <text>
        <r>
          <rPr>
            <sz val="8"/>
            <color indexed="81"/>
            <rFont val="Tahoma"/>
            <family val="2"/>
          </rPr>
          <t>Totalt behov = summaposterna av underhåll +  mjölkproduktion + tillväxt + foster</t>
        </r>
      </text>
    </comment>
    <comment ref="T13" authorId="0" shapeId="0" xr:uid="{00000000-0006-0000-0000-000036000000}">
      <text>
        <r>
          <rPr>
            <sz val="8"/>
            <color indexed="81"/>
            <rFont val="Tahoma"/>
            <family val="2"/>
          </rPr>
          <t>Totalt behov = summaposterna av underhåll +  mjölkproduktion + tillväxt + foster</t>
        </r>
      </text>
    </comment>
    <comment ref="U13" authorId="0" shapeId="0" xr:uid="{00000000-0006-0000-0000-000037000000}">
      <text>
        <r>
          <rPr>
            <sz val="8"/>
            <color indexed="81"/>
            <rFont val="Tahoma"/>
            <family val="2"/>
          </rPr>
          <t>Totalt behov = summaposterna av underhåll +  mjölkproduktion + tillväxt + foster</t>
        </r>
      </text>
    </comment>
    <comment ref="V13" authorId="0" shapeId="0" xr:uid="{00000000-0006-0000-0000-000038000000}">
      <text>
        <r>
          <rPr>
            <sz val="8"/>
            <color indexed="81"/>
            <rFont val="Tahoma"/>
            <family val="2"/>
          </rPr>
          <t>Totalt behov = summaposterna av underhåll +  mjölkproduktion + tillväxt + foster</t>
        </r>
      </text>
    </comment>
    <comment ref="W13" authorId="0" shapeId="0" xr:uid="{00000000-0006-0000-0000-000039000000}">
      <text>
        <r>
          <rPr>
            <sz val="8"/>
            <color indexed="81"/>
            <rFont val="Tahoma"/>
            <family val="2"/>
          </rPr>
          <t>Totalt behov = summaposterna av  mjölkproduktion + dräktighet</t>
        </r>
      </text>
    </comment>
    <comment ref="P15" authorId="0" shapeId="0" xr:uid="{00000000-0006-0000-0000-00003A000000}">
      <text>
        <r>
          <rPr>
            <sz val="8"/>
            <color indexed="81"/>
            <rFont val="Tahoma"/>
            <family val="2"/>
          </rPr>
          <t>Fodermedelstabellen, 2003</t>
        </r>
      </text>
    </comment>
    <comment ref="P16" authorId="0" shapeId="0" xr:uid="{00000000-0006-0000-0000-00003B000000}">
      <text>
        <r>
          <rPr>
            <sz val="8"/>
            <color indexed="81"/>
            <rFont val="Tahoma"/>
            <family val="2"/>
          </rPr>
          <t>Ingår detta fodermedel i en mix eller ett foder som ges till andra djur så sätt en 1 annars 0 eller inte ifyllt alls</t>
        </r>
      </text>
    </comment>
    <comment ref="AC17" authorId="0" shapeId="0" xr:uid="{00000000-0006-0000-0000-00003C000000}">
      <text>
        <r>
          <rPr>
            <sz val="8"/>
            <color indexed="81"/>
            <rFont val="Tahoma"/>
            <family val="2"/>
          </rPr>
          <t>Konsumerat foderkväve (N)= kgTS*Rp%/6,25</t>
        </r>
      </text>
    </comment>
    <comment ref="AD17" authorId="0" shapeId="0" xr:uid="{00000000-0006-0000-0000-00003D000000}">
      <text>
        <r>
          <rPr>
            <sz val="8"/>
            <color indexed="81"/>
            <rFont val="Tahoma"/>
            <family val="2"/>
          </rPr>
          <t>Konsumerat KRAV kg ts</t>
        </r>
      </text>
    </comment>
    <comment ref="X37" authorId="0" shapeId="0" xr:uid="{00000000-0006-0000-0000-00003E000000}">
      <text>
        <r>
          <rPr>
            <sz val="8"/>
            <color indexed="81"/>
            <rFont val="Tahoma"/>
            <family val="2"/>
          </rPr>
          <t>LFU 2001</t>
        </r>
      </text>
    </comment>
    <comment ref="R38" authorId="0" shapeId="0" xr:uid="{00000000-0006-0000-0000-00003F000000}">
      <text>
        <r>
          <rPr>
            <sz val="8"/>
            <color indexed="81"/>
            <rFont val="Tahoma"/>
            <family val="2"/>
          </rPr>
          <t>Fodermedelstabell, 2003</t>
        </r>
      </text>
    </comment>
    <comment ref="S38" authorId="0" shapeId="0" xr:uid="{00000000-0006-0000-0000-000040000000}">
      <text>
        <r>
          <rPr>
            <sz val="8"/>
            <color indexed="81"/>
            <rFont val="Tahoma"/>
            <family val="2"/>
          </rPr>
          <t>Fodermedelstabell, 2003</t>
        </r>
      </text>
    </comment>
    <comment ref="T38" authorId="0" shapeId="0" xr:uid="{00000000-0006-0000-0000-000041000000}">
      <text>
        <r>
          <rPr>
            <sz val="8"/>
            <color indexed="81"/>
            <rFont val="Tahoma"/>
            <family val="2"/>
          </rPr>
          <t>Fodermedelstabell, 2003</t>
        </r>
      </text>
    </comment>
    <comment ref="U38" authorId="0" shapeId="0" xr:uid="{00000000-0006-0000-0000-000042000000}">
      <text>
        <r>
          <rPr>
            <sz val="8"/>
            <color indexed="81"/>
            <rFont val="Tahoma"/>
            <family val="2"/>
          </rPr>
          <t>Fodermedelstabell, 2003</t>
        </r>
      </text>
    </comment>
    <comment ref="I40" authorId="0" shapeId="0" xr:uid="{00000000-0006-0000-0000-000043000000}">
      <text>
        <r>
          <rPr>
            <sz val="8"/>
            <color indexed="81"/>
            <rFont val="Tahoma"/>
            <family val="2"/>
          </rPr>
          <t xml:space="preserve"> Underhållsbehov, tillväxt och foster inte inräknat</t>
        </r>
      </text>
    </comment>
    <comment ref="E42" authorId="1" shapeId="0" xr:uid="{00000000-0006-0000-0000-000044000000}">
      <text>
        <r>
          <rPr>
            <sz val="8"/>
            <color indexed="81"/>
            <rFont val="Tahoma"/>
            <family val="2"/>
          </rPr>
          <t>Ber. foderintag vid fri tillgång enl Bertilsson&amp;Burstedt, 1983
Kg ts=4,9+ 0,015*lev vikt +0,2*kg ECM</t>
        </r>
      </text>
    </comment>
    <comment ref="F42" authorId="0" shapeId="0" xr:uid="{00000000-0006-0000-0000-000045000000}">
      <text>
        <r>
          <rPr>
            <sz val="8"/>
            <color indexed="81"/>
            <rFont val="Tahoma"/>
            <family val="2"/>
          </rPr>
          <t>Rek. ts-giva enligt LFU, 2001,
Kg ts=0,43*kg mjölk+5,7</t>
        </r>
      </text>
    </comment>
    <comment ref="I42" authorId="0" shapeId="0" xr:uid="{00000000-0006-0000-0000-000046000000}">
      <text>
        <r>
          <rPr>
            <sz val="8"/>
            <color indexed="81"/>
            <rFont val="Tahoma"/>
            <family val="2"/>
          </rPr>
          <t>Underhållsbehov, tillväxt och foster inte inräknat</t>
        </r>
      </text>
    </comment>
    <comment ref="K44" authorId="0" shapeId="0" xr:uid="{00000000-0006-0000-0000-000047000000}">
      <text>
        <r>
          <rPr>
            <sz val="8"/>
            <color indexed="81"/>
            <rFont val="Tahoma"/>
            <family val="2"/>
          </rPr>
          <t>Rekommendation enligt LFU (2001)</t>
        </r>
      </text>
    </comment>
    <comment ref="J45" authorId="1" shapeId="0" xr:uid="{00000000-0006-0000-0000-000048000000}">
      <text>
        <r>
          <rPr>
            <sz val="8"/>
            <color indexed="81"/>
            <rFont val="Tahoma"/>
            <family val="2"/>
          </rPr>
          <t xml:space="preserve">Enligt NRC 1988
</t>
        </r>
      </text>
    </comment>
    <comment ref="K45" authorId="0" shapeId="0" xr:uid="{00000000-0006-0000-0000-000049000000}">
      <text>
        <r>
          <rPr>
            <sz val="8"/>
            <color indexed="81"/>
            <rFont val="Tahoma"/>
            <family val="2"/>
          </rPr>
          <t>Rekommendation enligt LFU (2001)</t>
        </r>
      </text>
    </comment>
    <comment ref="J46" authorId="0" shapeId="0" xr:uid="{00000000-0006-0000-0000-00004A000000}">
      <text>
        <r>
          <rPr>
            <sz val="8"/>
            <color indexed="81"/>
            <rFont val="Tahoma"/>
            <family val="2"/>
          </rPr>
          <t>NRC, 2001
20 till mjölkande
80 till sinkor</t>
        </r>
      </text>
    </comment>
    <comment ref="K47" authorId="1" shapeId="0" xr:uid="{00000000-0006-0000-0000-00004B000000}">
      <text>
        <r>
          <rPr>
            <sz val="8"/>
            <color indexed="81"/>
            <rFont val="Tahoma"/>
            <family val="2"/>
          </rPr>
          <t>Enligt LFU:
0.55 % - 10 kg mjölk
0.59 % - 60 kg mjölk
0.39 % - sinkor</t>
        </r>
      </text>
    </comment>
    <comment ref="J48" authorId="1" shapeId="0" xr:uid="{00000000-0006-0000-0000-00004C000000}">
      <text>
        <r>
          <rPr>
            <b/>
            <sz val="8"/>
            <color indexed="81"/>
            <rFont val="Tahoma"/>
            <family val="2"/>
          </rPr>
          <t>Ekelund, SLU:</t>
        </r>
        <r>
          <rPr>
            <sz val="8"/>
            <color indexed="81"/>
            <rFont val="Tahoma"/>
            <family val="2"/>
          </rPr>
          <t xml:space="preserve">
brist vid &lt; 0.30 %
onödig överutfodring vid &gt;0.38
</t>
        </r>
      </text>
    </comment>
    <comment ref="K48" authorId="1" shapeId="0" xr:uid="{00000000-0006-0000-0000-00004D000000}">
      <text>
        <r>
          <rPr>
            <sz val="8"/>
            <color indexed="81"/>
            <rFont val="Tahoma"/>
            <family val="2"/>
          </rPr>
          <t>Enligt LFU:
0.40 % - 10 kg mjölk</t>
        </r>
        <r>
          <rPr>
            <sz val="8"/>
            <color indexed="81"/>
            <rFont val="Tahoma"/>
            <family val="2"/>
          </rPr>
          <t xml:space="preserve">
0.38 % - 60 kg mjölk
0.26 % - sinkor
</t>
        </r>
      </text>
    </comment>
    <comment ref="J51" authorId="0" shapeId="0" xr:uid="{00000000-0006-0000-0000-00004E000000}">
      <text>
        <r>
          <rPr>
            <sz val="8"/>
            <color indexed="81"/>
            <rFont val="Tahoma"/>
            <family val="2"/>
          </rPr>
          <t>1-7 enligt Adrienne Ekelund, SLU</t>
        </r>
      </text>
    </comment>
    <comment ref="I56" authorId="0" shapeId="0" xr:uid="{00000000-0006-0000-0000-00004F000000}">
      <text>
        <r>
          <rPr>
            <sz val="8"/>
            <color indexed="81"/>
            <rFont val="Tahoma"/>
            <family val="2"/>
          </rPr>
          <t>mjölkprotein/foderprotein</t>
        </r>
      </text>
    </comment>
    <comment ref="J56" authorId="0" shapeId="0" xr:uid="{00000000-0006-0000-0000-000050000000}">
      <text>
        <r>
          <rPr>
            <sz val="8"/>
            <color indexed="81"/>
            <rFont val="Tahoma"/>
            <family val="2"/>
          </rPr>
          <t>26-30 % bra.
&lt;26 % dålig effektivitet
&gt;30 % kan indikera fel i beräkningen</t>
        </r>
      </text>
    </comment>
    <comment ref="I57" authorId="0" shapeId="0" xr:uid="{00000000-0006-0000-0000-000051000000}">
      <text>
        <r>
          <rPr>
            <sz val="8"/>
            <color indexed="81"/>
            <rFont val="Tahoma"/>
            <family val="2"/>
          </rPr>
          <t>inköpt foderprotein / konsumerat foderprotein. Observera att det inköpta foderprotein är konsumerat. Resterna inräknas ej här</t>
        </r>
      </text>
    </comment>
    <comment ref="P57" authorId="0" shapeId="0" xr:uid="{00000000-0006-0000-0000-000052000000}">
      <text>
        <r>
          <rPr>
            <sz val="8"/>
            <color indexed="81"/>
            <rFont val="Tahoma"/>
            <family val="2"/>
          </rPr>
          <t>Fodermedelstabell, 2003</t>
        </r>
      </text>
    </comment>
    <comment ref="R57" authorId="0" shapeId="0" xr:uid="{00000000-0006-0000-0000-000053000000}">
      <text>
        <r>
          <rPr>
            <sz val="8"/>
            <color indexed="81"/>
            <rFont val="Tahoma"/>
            <family val="2"/>
          </rPr>
          <t>Fodermedelstabell, 2003</t>
        </r>
      </text>
    </comment>
    <comment ref="C58" authorId="0" shapeId="0" xr:uid="{00000000-0006-0000-0000-000054000000}">
      <text>
        <r>
          <rPr>
            <sz val="8"/>
            <color indexed="81"/>
            <rFont val="Tahoma"/>
            <family val="2"/>
          </rPr>
          <t xml:space="preserve">Energibehov för mjölk och vikt/ (konsumerad energi-behov för tillväxt o foster och sinkors underhåll)
</t>
        </r>
      </text>
    </comment>
    <comment ref="C59" authorId="2" shapeId="0" xr:uid="{00000000-0006-0000-0000-000055000000}">
      <text>
        <r>
          <rPr>
            <b/>
            <sz val="8"/>
            <color indexed="81"/>
            <rFont val="Tahoma"/>
            <family val="2"/>
          </rPr>
          <t>Carin Clason:</t>
        </r>
        <r>
          <rPr>
            <sz val="8"/>
            <color indexed="81"/>
            <rFont val="Tahoma"/>
            <family val="2"/>
          </rPr>
          <t xml:space="preserve">
1,4-1,6 önskvärt enligt Keenan.  Obs det är kg ECM per dag delat med totalt ts-intag</t>
        </r>
      </text>
    </comment>
    <comment ref="P59" authorId="0" shapeId="0" xr:uid="{00000000-0006-0000-0000-000056000000}">
      <text>
        <r>
          <rPr>
            <sz val="8"/>
            <color indexed="81"/>
            <rFont val="Tahoma"/>
            <family val="2"/>
          </rPr>
          <t>Fodermedelstabell, 2003</t>
        </r>
      </text>
    </comment>
    <comment ref="Q59" authorId="0" shapeId="0" xr:uid="{00000000-0006-0000-0000-000057000000}">
      <text>
        <r>
          <rPr>
            <sz val="8"/>
            <color indexed="81"/>
            <rFont val="Tahoma"/>
            <family val="2"/>
          </rPr>
          <t>Fodermedelstabell, 2003</t>
        </r>
      </text>
    </comment>
    <comment ref="R59" authorId="0" shapeId="0" xr:uid="{00000000-0006-0000-0000-000058000000}">
      <text>
        <r>
          <rPr>
            <sz val="8"/>
            <color indexed="81"/>
            <rFont val="Tahoma"/>
            <family val="2"/>
          </rPr>
          <t>Fodermedelstabell, 2003</t>
        </r>
      </text>
    </comment>
    <comment ref="S59" authorId="0" shapeId="0" xr:uid="{00000000-0006-0000-0000-000059000000}">
      <text>
        <r>
          <rPr>
            <sz val="8"/>
            <color indexed="81"/>
            <rFont val="Tahoma"/>
            <family val="2"/>
          </rPr>
          <t>Fodermedelstabell, 2003</t>
        </r>
      </text>
    </comment>
    <comment ref="C62" authorId="0" shapeId="0" xr:uid="{00000000-0006-0000-0000-00005A000000}">
      <text>
        <r>
          <rPr>
            <sz val="8"/>
            <color indexed="81"/>
            <rFont val="Tahoma"/>
            <family val="2"/>
          </rPr>
          <t>Då lösdrift anses öka energibehovet med 10% så ska denna formel användas:</t>
        </r>
        <r>
          <rPr>
            <sz val="8"/>
            <color indexed="81"/>
            <rFont val="Tahoma"/>
            <family val="2"/>
          </rPr>
          <t xml:space="preserve">
=OM(F3=0;T29/S13;T29/(S13*1,1))</t>
        </r>
      </text>
    </comment>
  </commentList>
</comments>
</file>

<file path=xl/sharedStrings.xml><?xml version="1.0" encoding="utf-8"?>
<sst xmlns="http://schemas.openxmlformats.org/spreadsheetml/2006/main" count="230" uniqueCount="199">
  <si>
    <t>Ts-halt, %</t>
  </si>
  <si>
    <t>Antal kor</t>
  </si>
  <si>
    <t>kg ECM</t>
  </si>
  <si>
    <t>Fodermedel</t>
  </si>
  <si>
    <t>Ca, g</t>
  </si>
  <si>
    <t>P, g</t>
  </si>
  <si>
    <t>Foderkostnad</t>
  </si>
  <si>
    <t>Förening:</t>
  </si>
  <si>
    <t>Vägningsdatum</t>
  </si>
  <si>
    <t>Lösdrift</t>
  </si>
  <si>
    <t>Bes nr</t>
  </si>
  <si>
    <t>Totalt</t>
  </si>
  <si>
    <t>1:a kalvare</t>
  </si>
  <si>
    <t>Vikt</t>
  </si>
  <si>
    <t>kg foder</t>
  </si>
  <si>
    <t>Resultat</t>
  </si>
  <si>
    <t>kg ECM/ko o dag</t>
  </si>
  <si>
    <t>kg ts grovfoder/ko o dag</t>
  </si>
  <si>
    <t>kg ts kraftfoder/ko o dag</t>
  </si>
  <si>
    <t>% grovfoder</t>
  </si>
  <si>
    <t>Grf %</t>
  </si>
  <si>
    <t>Koncentrationsgrad MJ/kg ts</t>
  </si>
  <si>
    <t>Utfodring % av norm</t>
  </si>
  <si>
    <t>Energi</t>
  </si>
  <si>
    <t>AAT</t>
  </si>
  <si>
    <t>Mineralbalans</t>
  </si>
  <si>
    <t>Kr/dag</t>
  </si>
  <si>
    <t>kr/ko o dag</t>
  </si>
  <si>
    <t>Sinkor</t>
  </si>
  <si>
    <t>Utfodrat</t>
  </si>
  <si>
    <t>Energi, MJ/kg ECM</t>
  </si>
  <si>
    <t>AAT, g/kg ECM</t>
  </si>
  <si>
    <t>AAT g/ MJ</t>
  </si>
  <si>
    <t>PBV, g/ko</t>
  </si>
  <si>
    <t>Pris, öre</t>
  </si>
  <si>
    <t>Tillväxt</t>
  </si>
  <si>
    <t>Summa mjölk</t>
  </si>
  <si>
    <t>Summa tillväxt</t>
  </si>
  <si>
    <t>Foster, 9 mån</t>
  </si>
  <si>
    <t>Summa foster</t>
  </si>
  <si>
    <t>SUMMA BEHOV</t>
  </si>
  <si>
    <t>kg ts grf</t>
  </si>
  <si>
    <t xml:space="preserve">        Mjölkande</t>
  </si>
  <si>
    <t>äldre</t>
  </si>
  <si>
    <t>Kvigor</t>
  </si>
  <si>
    <t>Mjölkintäkt-foderkostnad</t>
  </si>
  <si>
    <t>Lev vikt</t>
  </si>
  <si>
    <t>Underhåll</t>
  </si>
  <si>
    <t>Foster</t>
  </si>
  <si>
    <t>Cau</t>
  </si>
  <si>
    <t>Pu</t>
  </si>
  <si>
    <t>Caf</t>
  </si>
  <si>
    <t>Pf</t>
  </si>
  <si>
    <t>HP-massa</t>
  </si>
  <si>
    <t>Tillvänjning/Sinkor</t>
  </si>
  <si>
    <t>Totalt per dag</t>
  </si>
  <si>
    <t>per mjölkande ko</t>
  </si>
  <si>
    <t>Råprot, g</t>
  </si>
  <si>
    <t>NDF, g</t>
  </si>
  <si>
    <t>Rp% av ts</t>
  </si>
  <si>
    <t>NDF% av ts</t>
  </si>
  <si>
    <t>MJ/kg ts</t>
  </si>
  <si>
    <t>gAAT/kg ts</t>
  </si>
  <si>
    <t xml:space="preserve"> ----------------------------g/kg ts-----------------------------</t>
  </si>
  <si>
    <t>Fett%</t>
  </si>
  <si>
    <t>Protein%</t>
  </si>
  <si>
    <t>MJÖLK, kg</t>
  </si>
  <si>
    <t>ANTAL kor</t>
  </si>
  <si>
    <t>kg ts foder/ko o dag</t>
  </si>
  <si>
    <t>kg ts krf/kg ECM</t>
  </si>
  <si>
    <t>mg/kg ts</t>
  </si>
  <si>
    <t>E-vit, mg</t>
  </si>
  <si>
    <t>kg ECM/dag</t>
  </si>
  <si>
    <t>kg ts krf/kg mjölk</t>
  </si>
  <si>
    <t xml:space="preserve">Behov av </t>
  </si>
  <si>
    <t>kalcium</t>
  </si>
  <si>
    <t>fosfor</t>
  </si>
  <si>
    <t>E-vit mg</t>
  </si>
  <si>
    <t>Mängder</t>
  </si>
  <si>
    <t>Besättning</t>
  </si>
  <si>
    <t>Datum</t>
  </si>
  <si>
    <t>kr/kg ECM</t>
  </si>
  <si>
    <t>Ca/P-kvot</t>
  </si>
  <si>
    <t>Eget resultat</t>
  </si>
  <si>
    <t>&lt;0,38</t>
  </si>
  <si>
    <t>0-300</t>
  </si>
  <si>
    <t>avkastningsnivå</t>
  </si>
  <si>
    <t>tsintag</t>
  </si>
  <si>
    <t>råprotein%</t>
  </si>
  <si>
    <t>5-5,5</t>
  </si>
  <si>
    <t>40-50</t>
  </si>
  <si>
    <t>NDF%</t>
  </si>
  <si>
    <t>ECM=((383*F%+242*P%+783,2)/3140)*kg</t>
  </si>
  <si>
    <t>Totalt foder</t>
  </si>
  <si>
    <t>Kornas näringsbehov</t>
  </si>
  <si>
    <t>Ca g</t>
  </si>
  <si>
    <t>P g</t>
  </si>
  <si>
    <t>för</t>
  </si>
  <si>
    <t>KRAV</t>
  </si>
  <si>
    <t>Kväveeffektivitet</t>
  </si>
  <si>
    <t>per ko</t>
  </si>
  <si>
    <t>Riktvärde</t>
  </si>
  <si>
    <t>7,6-8,3</t>
  </si>
  <si>
    <t>MjölkN/foderN</t>
  </si>
  <si>
    <t>Ca % av ts</t>
  </si>
  <si>
    <t>P % av ts</t>
  </si>
  <si>
    <t>&gt;28%</t>
  </si>
  <si>
    <t>EnergiDr9</t>
  </si>
  <si>
    <t>AAT Dr9</t>
  </si>
  <si>
    <t>för Dr</t>
  </si>
  <si>
    <t>EnergiDr8</t>
  </si>
  <si>
    <t>AAT Dr8</t>
  </si>
  <si>
    <t>Sum f tillvänj</t>
  </si>
  <si>
    <t>Sum f lakterande</t>
  </si>
  <si>
    <r>
      <t>Mjölkprod</t>
    </r>
    <r>
      <rPr>
        <sz val="8"/>
        <rFont val="Arial"/>
        <family val="2"/>
      </rPr>
      <t>/ko o dag</t>
    </r>
  </si>
  <si>
    <t>Ensilage/Mix till ungdjur</t>
  </si>
  <si>
    <t>Rester av ensilage/mix</t>
  </si>
  <si>
    <t>Summa konsumerat</t>
  </si>
  <si>
    <t>Ingår i rester</t>
  </si>
  <si>
    <t>el. ingår i mix</t>
  </si>
  <si>
    <t>kg rest+ungdjur</t>
  </si>
  <si>
    <t xml:space="preserve"> ----------------------------------------------------------per kg ts----------------------------------------------             </t>
  </si>
  <si>
    <t>Summa utfodrat kg</t>
  </si>
  <si>
    <t>Skriv ut sida 1 o 2</t>
  </si>
  <si>
    <t>8:e mån</t>
  </si>
  <si>
    <t>9:e mån</t>
  </si>
  <si>
    <t>9:e månad i Dr</t>
  </si>
  <si>
    <t>köpfoder</t>
  </si>
  <si>
    <t>ts-halt i</t>
  </si>
  <si>
    <t>foderstaten</t>
  </si>
  <si>
    <t>%grf</t>
  </si>
  <si>
    <t>g PBV/kgts</t>
  </si>
  <si>
    <t>InköptN/foderN</t>
  </si>
  <si>
    <t>&gt;85%</t>
  </si>
  <si>
    <t>&lt;110%</t>
  </si>
  <si>
    <t>Fodereffektivitet</t>
  </si>
  <si>
    <t>Senaste tankurea</t>
  </si>
  <si>
    <t>Urea i mjölktanken</t>
  </si>
  <si>
    <t>3,5-5,0</t>
  </si>
  <si>
    <t>Ekologisk produktion</t>
  </si>
  <si>
    <t>KRAV%</t>
  </si>
  <si>
    <t>&gt;95%</t>
  </si>
  <si>
    <t>Kostn kr</t>
  </si>
  <si>
    <t>InköptRp</t>
  </si>
  <si>
    <t xml:space="preserve"> --- g/kg ts ---</t>
  </si>
  <si>
    <t>1 till 7</t>
  </si>
  <si>
    <t>Mjölkpris</t>
  </si>
  <si>
    <t>jfr LFU</t>
  </si>
  <si>
    <t xml:space="preserve">Fyll i gulfärgade rutor. </t>
  </si>
  <si>
    <t>&lt;105%</t>
  </si>
  <si>
    <t>E-vit, mg/kg ts</t>
  </si>
  <si>
    <t xml:space="preserve"> -5 till +15</t>
  </si>
  <si>
    <t xml:space="preserve"> -5 till + 15</t>
  </si>
  <si>
    <t>0.55-0.59</t>
  </si>
  <si>
    <t>0.38-0.40</t>
  </si>
  <si>
    <t>20-80</t>
  </si>
  <si>
    <t>&gt;0.30</t>
  </si>
  <si>
    <t>Ca g/ko o dag jfr. m. rek.</t>
  </si>
  <si>
    <t>P g/ko o dag   jfr. m. rek.</t>
  </si>
  <si>
    <t>kg ECM/kg ts</t>
  </si>
  <si>
    <t>1,4-1,6</t>
  </si>
  <si>
    <t xml:space="preserve"> </t>
  </si>
  <si>
    <t>x</t>
  </si>
  <si>
    <t>Ensilage</t>
  </si>
  <si>
    <t>ENDAGARS FODERSTATSKONTROLL</t>
  </si>
  <si>
    <t>Kolumn1</t>
  </si>
  <si>
    <t>Kolumn2</t>
  </si>
  <si>
    <t>Kolumn3</t>
  </si>
  <si>
    <t>Kolumn4</t>
  </si>
  <si>
    <t>KRAV8</t>
  </si>
  <si>
    <t xml:space="preserve">Vikt/prod </t>
  </si>
  <si>
    <t>kalcium2</t>
  </si>
  <si>
    <t>fosfor2</t>
  </si>
  <si>
    <t>Levande vikt</t>
  </si>
  <si>
    <t>Mjölkavkastn</t>
  </si>
  <si>
    <t>Energi2</t>
  </si>
  <si>
    <t>AAT2</t>
  </si>
  <si>
    <t>Foder X</t>
  </si>
  <si>
    <t>Foder Y</t>
  </si>
  <si>
    <t>Effekt Intensiv</t>
  </si>
  <si>
    <t>Halm</t>
  </si>
  <si>
    <t>Hö</t>
  </si>
  <si>
    <t>AAT20, g</t>
  </si>
  <si>
    <t>NEL20, MJ</t>
  </si>
  <si>
    <t>Kg ts foder</t>
  </si>
  <si>
    <t>Råprot, g2</t>
  </si>
  <si>
    <t>NDF, g2</t>
  </si>
  <si>
    <t>Ca, g2</t>
  </si>
  <si>
    <t>P, g2</t>
  </si>
  <si>
    <t>Energi, MJ</t>
  </si>
  <si>
    <t>AAT, g</t>
  </si>
  <si>
    <t>PBV, g</t>
  </si>
  <si>
    <t>Blandsäd</t>
  </si>
  <si>
    <t>Åkerböna</t>
  </si>
  <si>
    <t>Majsensilage</t>
  </si>
  <si>
    <t>Expro</t>
  </si>
  <si>
    <t>Energi, MJ2</t>
  </si>
  <si>
    <t>AAT, g2</t>
  </si>
  <si>
    <t>PBV, g2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</si>
</sst>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r&quot;_-;\-* #,##0.00\ &quot;kr&quot;_-;_-* &quot;-&quot;??\ &quot;kr&quot;_-;_-@_-"/>
    <numFmt numFmtId="164" formatCode="0.000"/>
    <numFmt numFmtId="165" formatCode="0.0"/>
    <numFmt numFmtId="166" formatCode="0.0000"/>
    <numFmt numFmtId="167" formatCode="0.0%"/>
    <numFmt numFmtId="168" formatCode="_-* #,##0\ &quot;kr&quot;_-;\-* #,##0\ &quot;kr&quot;_-;_-* &quot;-&quot;??\ &quot;kr&quot;_-;_-@_-"/>
  </numFmts>
  <fonts count="3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2"/>
      <color indexed="6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sz val="10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4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5"/>
      <color indexed="10"/>
      <name val="Arial"/>
      <family val="2"/>
    </font>
    <font>
      <sz val="7"/>
      <name val="Arial"/>
      <family val="2"/>
    </font>
    <font>
      <u/>
      <sz val="8"/>
      <name val="Arial"/>
      <family val="2"/>
    </font>
    <font>
      <u/>
      <sz val="7"/>
      <name val="Arial"/>
      <family val="2"/>
    </font>
    <font>
      <b/>
      <sz val="7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i/>
      <sz val="12"/>
      <name val="Arial"/>
      <family val="2"/>
    </font>
    <font>
      <b/>
      <sz val="18"/>
      <color theme="3"/>
      <name val="Cambria"/>
      <family val="2"/>
      <scheme val="major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215">
    <xf numFmtId="0" fontId="0" fillId="0" borderId="0" xfId="0"/>
    <xf numFmtId="165" fontId="17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15" fontId="10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0" fontId="15" fillId="2" borderId="1" xfId="0" applyFont="1" applyFill="1" applyBorder="1" applyProtection="1"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16" fillId="2" borderId="1" xfId="0" applyFont="1" applyFill="1" applyBorder="1" applyAlignment="1" applyProtection="1">
      <alignment horizontal="center"/>
      <protection locked="0"/>
    </xf>
    <xf numFmtId="165" fontId="7" fillId="2" borderId="2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Protection="1">
      <protection locked="0"/>
    </xf>
    <xf numFmtId="0" fontId="19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65" fontId="3" fillId="2" borderId="1" xfId="0" applyNumberFormat="1" applyFont="1" applyFill="1" applyBorder="1" applyAlignment="1" applyProtection="1">
      <alignment horizontal="center"/>
      <protection locked="0"/>
    </xf>
    <xf numFmtId="2" fontId="7" fillId="2" borderId="3" xfId="0" applyNumberFormat="1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protection locked="0"/>
    </xf>
    <xf numFmtId="167" fontId="3" fillId="2" borderId="1" xfId="1" applyNumberFormat="1" applyFont="1" applyFill="1" applyBorder="1" applyAlignment="1" applyProtection="1">
      <alignment horizontal="center"/>
      <protection locked="0"/>
    </xf>
    <xf numFmtId="9" fontId="3" fillId="2" borderId="1" xfId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9" fontId="3" fillId="2" borderId="1" xfId="0" applyNumberFormat="1" applyFont="1" applyFill="1" applyBorder="1" applyAlignment="1" applyProtection="1">
      <alignment horizontal="center"/>
      <protection locked="0"/>
    </xf>
    <xf numFmtId="9" fontId="3" fillId="2" borderId="5" xfId="0" applyNumberFormat="1" applyFont="1" applyFill="1" applyBorder="1" applyAlignment="1" applyProtection="1">
      <alignment horizontal="center"/>
      <protection locked="0"/>
    </xf>
    <xf numFmtId="167" fontId="3" fillId="2" borderId="1" xfId="0" applyNumberFormat="1" applyFont="1" applyFill="1" applyBorder="1" applyAlignment="1" applyProtection="1">
      <alignment horizontal="center"/>
      <protection locked="0"/>
    </xf>
    <xf numFmtId="9" fontId="3" fillId="2" borderId="4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Protection="1">
      <protection locked="0"/>
    </xf>
    <xf numFmtId="0" fontId="28" fillId="2" borderId="1" xfId="0" applyFont="1" applyFill="1" applyBorder="1" applyAlignment="1" applyProtection="1">
      <protection locked="0"/>
    </xf>
    <xf numFmtId="0" fontId="3" fillId="2" borderId="1" xfId="0" applyFont="1" applyFill="1" applyBorder="1" applyProtection="1">
      <protection locked="0"/>
    </xf>
    <xf numFmtId="0" fontId="25" fillId="2" borderId="1" xfId="0" applyFont="1" applyFill="1" applyBorder="1" applyAlignment="1" applyProtection="1">
      <protection locked="0"/>
    </xf>
    <xf numFmtId="165" fontId="17" fillId="2" borderId="5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Protection="1"/>
    <xf numFmtId="0" fontId="29" fillId="2" borderId="0" xfId="0" applyFont="1" applyFill="1" applyProtection="1"/>
    <xf numFmtId="0" fontId="5" fillId="2" borderId="0" xfId="0" applyFont="1" applyFill="1" applyProtection="1"/>
    <xf numFmtId="0" fontId="5" fillId="2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15" fillId="0" borderId="0" xfId="0" applyFont="1" applyFill="1" applyProtection="1"/>
    <xf numFmtId="0" fontId="7" fillId="0" borderId="0" xfId="0" applyFont="1" applyFill="1" applyBorder="1" applyAlignment="1" applyProtection="1">
      <alignment horizontal="center"/>
    </xf>
    <xf numFmtId="0" fontId="19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Border="1" applyAlignment="1" applyProtection="1">
      <alignment horizontal="right"/>
    </xf>
    <xf numFmtId="1" fontId="7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13" fillId="0" borderId="0" xfId="0" applyFont="1" applyFill="1" applyProtection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textRotation="105"/>
    </xf>
    <xf numFmtId="0" fontId="12" fillId="0" borderId="0" xfId="0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165" fontId="16" fillId="0" borderId="0" xfId="0" applyNumberFormat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/>
    </xf>
    <xf numFmtId="2" fontId="16" fillId="0" borderId="0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0" fontId="2" fillId="0" borderId="1" xfId="0" applyFont="1" applyFill="1" applyBorder="1" applyProtection="1"/>
    <xf numFmtId="0" fontId="2" fillId="0" borderId="0" xfId="0" applyFont="1" applyFill="1" applyProtection="1"/>
    <xf numFmtId="0" fontId="3" fillId="0" borderId="6" xfId="0" applyFont="1" applyFill="1" applyBorder="1" applyProtection="1"/>
    <xf numFmtId="0" fontId="2" fillId="0" borderId="4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right" textRotation="105"/>
    </xf>
    <xf numFmtId="0" fontId="2" fillId="0" borderId="1" xfId="0" applyFont="1" applyFill="1" applyBorder="1" applyAlignment="1" applyProtection="1">
      <alignment horizontal="left"/>
    </xf>
    <xf numFmtId="0" fontId="7" fillId="0" borderId="7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0" fontId="3" fillId="0" borderId="1" xfId="0" applyFont="1" applyFill="1" applyBorder="1" applyProtection="1"/>
    <xf numFmtId="0" fontId="8" fillId="0" borderId="0" xfId="0" applyFont="1" applyFill="1" applyProtection="1"/>
    <xf numFmtId="1" fontId="7" fillId="0" borderId="1" xfId="0" applyNumberFormat="1" applyFont="1" applyFill="1" applyBorder="1" applyAlignment="1" applyProtection="1">
      <alignment horizontal="center"/>
    </xf>
    <xf numFmtId="0" fontId="2" fillId="0" borderId="8" xfId="0" applyFont="1" applyFill="1" applyBorder="1" applyProtection="1"/>
    <xf numFmtId="165" fontId="3" fillId="0" borderId="1" xfId="0" applyNumberFormat="1" applyFont="1" applyFill="1" applyBorder="1" applyAlignment="1" applyProtection="1">
      <alignment horizontal="center"/>
    </xf>
    <xf numFmtId="165" fontId="19" fillId="0" borderId="1" xfId="0" applyNumberFormat="1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2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1" fontId="3" fillId="0" borderId="0" xfId="0" applyNumberFormat="1" applyFont="1" applyFill="1" applyProtection="1"/>
    <xf numFmtId="165" fontId="20" fillId="0" borderId="4" xfId="0" applyNumberFormat="1" applyFont="1" applyFill="1" applyBorder="1" applyAlignment="1" applyProtection="1">
      <alignment horizontal="center"/>
    </xf>
    <xf numFmtId="165" fontId="2" fillId="0" borderId="1" xfId="0" applyNumberFormat="1" applyFont="1" applyFill="1" applyBorder="1" applyAlignment="1" applyProtection="1">
      <alignment horizontal="center"/>
    </xf>
    <xf numFmtId="165" fontId="20" fillId="0" borderId="1" xfId="0" applyNumberFormat="1" applyFont="1" applyFill="1" applyBorder="1" applyAlignment="1" applyProtection="1">
      <alignment horizontal="center"/>
    </xf>
    <xf numFmtId="0" fontId="10" fillId="0" borderId="8" xfId="0" applyFont="1" applyFill="1" applyBorder="1" applyProtection="1"/>
    <xf numFmtId="0" fontId="10" fillId="0" borderId="0" xfId="0" applyFont="1" applyFill="1" applyBorder="1" applyProtection="1"/>
    <xf numFmtId="1" fontId="3" fillId="0" borderId="0" xfId="0" applyNumberFormat="1" applyFont="1" applyFill="1" applyBorder="1" applyProtection="1"/>
    <xf numFmtId="2" fontId="3" fillId="0" borderId="0" xfId="0" applyNumberFormat="1" applyFont="1" applyFill="1" applyBorder="1" applyAlignment="1" applyProtection="1">
      <alignment horizontal="center"/>
    </xf>
    <xf numFmtId="1" fontId="3" fillId="0" borderId="0" xfId="0" applyNumberFormat="1" applyFont="1" applyFill="1" applyBorder="1" applyAlignment="1" applyProtection="1">
      <alignment horizontal="right"/>
    </xf>
    <xf numFmtId="0" fontId="19" fillId="0" borderId="0" xfId="0" applyFont="1" applyFill="1" applyBorder="1" applyProtection="1"/>
    <xf numFmtId="2" fontId="20" fillId="0" borderId="0" xfId="0" applyNumberFormat="1" applyFont="1" applyFill="1" applyBorder="1" applyAlignment="1" applyProtection="1">
      <alignment horizontal="center"/>
    </xf>
    <xf numFmtId="165" fontId="3" fillId="0" borderId="0" xfId="0" applyNumberFormat="1" applyFont="1" applyFill="1" applyBorder="1" applyAlignment="1" applyProtection="1">
      <alignment horizontal="center"/>
    </xf>
    <xf numFmtId="1" fontId="3" fillId="0" borderId="0" xfId="0" applyNumberFormat="1" applyFont="1" applyFill="1" applyBorder="1" applyAlignment="1" applyProtection="1">
      <alignment horizontal="center"/>
    </xf>
    <xf numFmtId="166" fontId="3" fillId="0" borderId="0" xfId="0" applyNumberFormat="1" applyFont="1" applyFill="1" applyBorder="1" applyAlignment="1" applyProtection="1">
      <alignment horizontal="center"/>
    </xf>
    <xf numFmtId="10" fontId="3" fillId="0" borderId="0" xfId="1" applyNumberFormat="1" applyFont="1" applyFill="1" applyBorder="1" applyAlignment="1" applyProtection="1">
      <alignment horizontal="center"/>
    </xf>
    <xf numFmtId="2" fontId="7" fillId="0" borderId="0" xfId="0" applyNumberFormat="1" applyFont="1" applyFill="1" applyBorder="1" applyAlignment="1" applyProtection="1">
      <alignment horizontal="center"/>
    </xf>
    <xf numFmtId="1" fontId="3" fillId="0" borderId="0" xfId="0" applyNumberFormat="1" applyFont="1" applyFill="1" applyAlignment="1" applyProtection="1">
      <alignment horizontal="right"/>
    </xf>
    <xf numFmtId="165" fontId="18" fillId="0" borderId="0" xfId="0" applyNumberFormat="1" applyFont="1" applyFill="1" applyBorder="1" applyAlignment="1" applyProtection="1">
      <alignment horizontal="center"/>
    </xf>
    <xf numFmtId="0" fontId="26" fillId="0" borderId="0" xfId="0" applyFont="1" applyFill="1" applyBorder="1" applyProtection="1"/>
    <xf numFmtId="15" fontId="3" fillId="0" borderId="0" xfId="0" applyNumberFormat="1" applyFont="1" applyFill="1" applyProtection="1"/>
    <xf numFmtId="1" fontId="3" fillId="0" borderId="9" xfId="0" applyNumberFormat="1" applyFont="1" applyFill="1" applyBorder="1" applyAlignment="1" applyProtection="1">
      <alignment horizontal="right"/>
    </xf>
    <xf numFmtId="1" fontId="3" fillId="0" borderId="9" xfId="0" applyNumberFormat="1" applyFont="1" applyFill="1" applyBorder="1" applyProtection="1"/>
    <xf numFmtId="9" fontId="8" fillId="0" borderId="0" xfId="1" applyFont="1" applyFill="1" applyAlignment="1" applyProtection="1">
      <alignment horizontal="left"/>
    </xf>
    <xf numFmtId="9" fontId="3" fillId="0" borderId="0" xfId="1" applyFont="1" applyFill="1" applyAlignment="1" applyProtection="1">
      <alignment horizontal="center"/>
    </xf>
    <xf numFmtId="9" fontId="3" fillId="0" borderId="0" xfId="0" applyNumberFormat="1" applyFont="1" applyFill="1" applyAlignment="1" applyProtection="1">
      <alignment horizontal="center"/>
    </xf>
    <xf numFmtId="167" fontId="3" fillId="0" borderId="0" xfId="1" applyNumberFormat="1" applyFont="1" applyFill="1" applyProtection="1"/>
    <xf numFmtId="1" fontId="5" fillId="0" borderId="0" xfId="0" applyNumberFormat="1" applyFont="1" applyFill="1" applyProtection="1"/>
    <xf numFmtId="1" fontId="5" fillId="0" borderId="0" xfId="0" applyNumberFormat="1" applyFont="1" applyFill="1" applyAlignment="1" applyProtection="1">
      <alignment horizontal="center"/>
    </xf>
    <xf numFmtId="1" fontId="3" fillId="0" borderId="0" xfId="0" applyNumberFormat="1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left"/>
    </xf>
    <xf numFmtId="165" fontId="5" fillId="0" borderId="0" xfId="1" applyNumberFormat="1" applyFont="1" applyFill="1" applyAlignment="1" applyProtection="1">
      <alignment horizontal="center"/>
    </xf>
    <xf numFmtId="165" fontId="5" fillId="0" borderId="0" xfId="0" applyNumberFormat="1" applyFont="1" applyFill="1" applyBorder="1" applyProtection="1"/>
    <xf numFmtId="165" fontId="5" fillId="0" borderId="0" xfId="0" applyNumberFormat="1" applyFont="1" applyFill="1" applyAlignment="1" applyProtection="1">
      <alignment horizontal="center"/>
    </xf>
    <xf numFmtId="165" fontId="3" fillId="0" borderId="0" xfId="0" applyNumberFormat="1" applyFont="1" applyFill="1" applyAlignment="1" applyProtection="1">
      <alignment horizontal="center"/>
    </xf>
    <xf numFmtId="1" fontId="5" fillId="0" borderId="0" xfId="0" applyNumberFormat="1" applyFont="1" applyFill="1" applyBorder="1" applyProtection="1"/>
    <xf numFmtId="9" fontId="3" fillId="0" borderId="0" xfId="1" applyFont="1" applyFill="1" applyProtection="1"/>
    <xf numFmtId="1" fontId="5" fillId="0" borderId="0" xfId="1" applyNumberFormat="1" applyFont="1" applyFill="1" applyAlignment="1" applyProtection="1">
      <alignment horizontal="center"/>
    </xf>
    <xf numFmtId="167" fontId="5" fillId="0" borderId="0" xfId="0" applyNumberFormat="1" applyFont="1" applyFill="1" applyAlignment="1" applyProtection="1">
      <alignment horizontal="center"/>
    </xf>
    <xf numFmtId="167" fontId="5" fillId="0" borderId="0" xfId="1" applyNumberFormat="1" applyFont="1" applyFill="1" applyAlignment="1" applyProtection="1">
      <alignment horizontal="center"/>
    </xf>
    <xf numFmtId="165" fontId="3" fillId="0" borderId="0" xfId="1" applyNumberFormat="1" applyFont="1" applyFill="1" applyProtection="1"/>
    <xf numFmtId="2" fontId="5" fillId="0" borderId="0" xfId="0" applyNumberFormat="1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167" fontId="3" fillId="0" borderId="0" xfId="1" applyNumberFormat="1" applyFont="1" applyFill="1" applyAlignment="1" applyProtection="1">
      <alignment horizontal="center"/>
    </xf>
    <xf numFmtId="167" fontId="5" fillId="0" borderId="0" xfId="1" applyNumberFormat="1" applyFont="1" applyFill="1" applyProtection="1"/>
    <xf numFmtId="9" fontId="5" fillId="0" borderId="0" xfId="1" applyFont="1" applyFill="1" applyProtection="1"/>
    <xf numFmtId="165" fontId="5" fillId="0" borderId="0" xfId="1" applyNumberFormat="1" applyFont="1" applyFill="1" applyProtection="1"/>
    <xf numFmtId="165" fontId="19" fillId="0" borderId="0" xfId="1" applyNumberFormat="1" applyFont="1" applyFill="1" applyProtection="1"/>
    <xf numFmtId="168" fontId="5" fillId="0" borderId="0" xfId="3" applyNumberFormat="1" applyFont="1" applyFill="1" applyAlignment="1" applyProtection="1">
      <alignment horizontal="center"/>
    </xf>
    <xf numFmtId="44" fontId="3" fillId="0" borderId="0" xfId="3" applyFont="1" applyFill="1" applyAlignment="1" applyProtection="1">
      <alignment horizontal="center"/>
    </xf>
    <xf numFmtId="44" fontId="5" fillId="0" borderId="0" xfId="3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167" fontId="20" fillId="0" borderId="0" xfId="1" applyNumberFormat="1" applyFont="1" applyFill="1" applyAlignment="1" applyProtection="1">
      <alignment horizontal="center"/>
    </xf>
    <xf numFmtId="0" fontId="30" fillId="0" borderId="0" xfId="0" applyFont="1" applyFill="1" applyProtection="1"/>
    <xf numFmtId="9" fontId="20" fillId="0" borderId="0" xfId="1" applyFont="1" applyFill="1" applyAlignment="1" applyProtection="1">
      <alignment horizontal="center"/>
    </xf>
    <xf numFmtId="0" fontId="21" fillId="0" borderId="0" xfId="0" applyFont="1" applyFill="1" applyProtection="1"/>
    <xf numFmtId="9" fontId="5" fillId="0" borderId="0" xfId="1" applyNumberFormat="1" applyFont="1" applyFill="1" applyAlignment="1" applyProtection="1">
      <alignment horizontal="center"/>
    </xf>
    <xf numFmtId="1" fontId="8" fillId="0" borderId="0" xfId="0" applyNumberFormat="1" applyFont="1" applyFill="1" applyProtection="1"/>
    <xf numFmtId="1" fontId="21" fillId="0" borderId="0" xfId="0" applyNumberFormat="1" applyFont="1" applyFill="1" applyAlignment="1" applyProtection="1">
      <alignment horizontal="center"/>
    </xf>
    <xf numFmtId="1" fontId="21" fillId="0" borderId="0" xfId="0" applyNumberFormat="1" applyFont="1" applyFill="1" applyProtection="1"/>
    <xf numFmtId="0" fontId="4" fillId="0" borderId="0" xfId="0" applyFont="1" applyFill="1" applyProtection="1"/>
    <xf numFmtId="9" fontId="7" fillId="0" borderId="0" xfId="1" applyFont="1" applyFill="1" applyProtection="1"/>
    <xf numFmtId="0" fontId="7" fillId="0" borderId="0" xfId="0" applyFont="1" applyFill="1" applyProtection="1"/>
    <xf numFmtId="9" fontId="7" fillId="0" borderId="0" xfId="0" applyNumberFormat="1" applyFont="1" applyFill="1" applyProtection="1"/>
    <xf numFmtId="1" fontId="3" fillId="0" borderId="0" xfId="0" applyNumberFormat="1" applyFont="1" applyFill="1" applyAlignment="1" applyProtection="1">
      <alignment horizontal="left" indent="1"/>
    </xf>
    <xf numFmtId="0" fontId="6" fillId="0" borderId="0" xfId="0" applyFont="1" applyFill="1" applyProtection="1"/>
    <xf numFmtId="0" fontId="10" fillId="0" borderId="0" xfId="0" applyFont="1" applyFill="1" applyAlignment="1" applyProtection="1"/>
    <xf numFmtId="1" fontId="2" fillId="0" borderId="0" xfId="0" applyNumberFormat="1" applyFont="1" applyFill="1" applyBorder="1" applyAlignment="1" applyProtection="1">
      <alignment horizontal="center"/>
    </xf>
    <xf numFmtId="1" fontId="3" fillId="0" borderId="1" xfId="1" applyNumberFormat="1" applyFont="1" applyFill="1" applyBorder="1" applyAlignment="1" applyProtection="1">
      <alignment horizontal="center"/>
    </xf>
    <xf numFmtId="1" fontId="3" fillId="3" borderId="1" xfId="0" applyNumberFormat="1" applyFont="1" applyFill="1" applyBorder="1" applyAlignment="1" applyProtection="1">
      <alignment horizontal="center"/>
    </xf>
    <xf numFmtId="165" fontId="3" fillId="3" borderId="1" xfId="0" applyNumberFormat="1" applyFont="1" applyFill="1" applyBorder="1" applyAlignment="1" applyProtection="1">
      <alignment horizontal="center"/>
    </xf>
    <xf numFmtId="0" fontId="3" fillId="3" borderId="6" xfId="0" applyFont="1" applyFill="1" applyBorder="1" applyAlignment="1" applyProtection="1">
      <alignment horizontal="center"/>
    </xf>
    <xf numFmtId="0" fontId="11" fillId="0" borderId="0" xfId="0" applyFont="1" applyFill="1" applyAlignment="1" applyProtection="1"/>
    <xf numFmtId="0" fontId="3" fillId="3" borderId="1" xfId="0" applyFont="1" applyFill="1" applyBorder="1" applyAlignment="1" applyProtection="1">
      <alignment horizontal="center"/>
    </xf>
    <xf numFmtId="0" fontId="11" fillId="0" borderId="0" xfId="0" applyFont="1" applyFill="1" applyProtection="1"/>
    <xf numFmtId="0" fontId="5" fillId="0" borderId="1" xfId="0" applyFont="1" applyFill="1" applyBorder="1" applyAlignment="1" applyProtection="1">
      <alignment horizontal="center"/>
    </xf>
    <xf numFmtId="0" fontId="5" fillId="3" borderId="0" xfId="0" applyFont="1" applyFill="1" applyProtection="1"/>
    <xf numFmtId="0" fontId="3" fillId="3" borderId="7" xfId="0" applyFont="1" applyFill="1" applyBorder="1" applyAlignment="1" applyProtection="1">
      <alignment horizontal="center"/>
    </xf>
    <xf numFmtId="0" fontId="5" fillId="3" borderId="10" xfId="0" applyFont="1" applyFill="1" applyBorder="1" applyProtection="1"/>
    <xf numFmtId="165" fontId="3" fillId="0" borderId="1" xfId="1" applyNumberFormat="1" applyFont="1" applyFill="1" applyBorder="1" applyAlignment="1" applyProtection="1">
      <alignment horizontal="center"/>
    </xf>
    <xf numFmtId="1" fontId="3" fillId="3" borderId="5" xfId="0" applyNumberFormat="1" applyFont="1" applyFill="1" applyBorder="1" applyAlignment="1" applyProtection="1">
      <alignment horizontal="center"/>
    </xf>
    <xf numFmtId="164" fontId="3" fillId="0" borderId="1" xfId="1" applyNumberFormat="1" applyFont="1" applyFill="1" applyBorder="1" applyAlignment="1" applyProtection="1">
      <alignment horizontal="center"/>
    </xf>
    <xf numFmtId="0" fontId="5" fillId="3" borderId="1" xfId="0" applyFont="1" applyFill="1" applyBorder="1" applyProtection="1"/>
    <xf numFmtId="0" fontId="3" fillId="0" borderId="0" xfId="0" applyFont="1" applyFill="1" applyBorder="1" applyProtection="1"/>
    <xf numFmtId="0" fontId="3" fillId="3" borderId="10" xfId="0" applyFont="1" applyFill="1" applyBorder="1" applyAlignment="1" applyProtection="1">
      <alignment horizontal="center"/>
    </xf>
    <xf numFmtId="1" fontId="3" fillId="3" borderId="6" xfId="0" applyNumberFormat="1" applyFont="1" applyFill="1" applyBorder="1" applyAlignment="1" applyProtection="1">
      <alignment horizontal="center"/>
    </xf>
    <xf numFmtId="1" fontId="2" fillId="3" borderId="1" xfId="0" applyNumberFormat="1" applyFont="1" applyFill="1" applyBorder="1" applyAlignment="1" applyProtection="1">
      <alignment horizontal="center"/>
    </xf>
    <xf numFmtId="1" fontId="2" fillId="3" borderId="5" xfId="0" applyNumberFormat="1" applyFont="1" applyFill="1" applyBorder="1" applyAlignment="1" applyProtection="1">
      <alignment horizontal="center"/>
    </xf>
    <xf numFmtId="165" fontId="3" fillId="0" borderId="0" xfId="0" applyNumberFormat="1" applyFont="1" applyFill="1" applyProtection="1"/>
    <xf numFmtId="2" fontId="20" fillId="0" borderId="0" xfId="0" applyNumberFormat="1" applyFont="1" applyFill="1" applyBorder="1" applyAlignment="1" applyProtection="1">
      <alignment horizontal="left"/>
    </xf>
    <xf numFmtId="1" fontId="2" fillId="0" borderId="0" xfId="0" applyNumberFormat="1" applyFont="1" applyFill="1" applyProtection="1"/>
    <xf numFmtId="0" fontId="26" fillId="0" borderId="0" xfId="0" applyFont="1" applyFill="1" applyProtection="1"/>
    <xf numFmtId="0" fontId="27" fillId="0" borderId="0" xfId="0" applyFont="1" applyFill="1" applyProtection="1"/>
    <xf numFmtId="0" fontId="8" fillId="0" borderId="0" xfId="0" applyFont="1" applyFill="1" applyAlignment="1" applyProtection="1">
      <alignment horizontal="center"/>
    </xf>
    <xf numFmtId="0" fontId="21" fillId="0" borderId="0" xfId="0" applyFont="1" applyFill="1" applyAlignment="1" applyProtection="1">
      <alignment horizontal="left"/>
    </xf>
    <xf numFmtId="165" fontId="3" fillId="3" borderId="0" xfId="0" applyNumberFormat="1" applyFont="1" applyFill="1" applyAlignment="1" applyProtection="1">
      <alignment horizontal="center"/>
    </xf>
    <xf numFmtId="165" fontId="3" fillId="4" borderId="1" xfId="0" applyNumberFormat="1" applyFont="1" applyFill="1" applyBorder="1" applyAlignment="1" applyProtection="1">
      <alignment horizontal="center"/>
    </xf>
    <xf numFmtId="1" fontId="3" fillId="4" borderId="1" xfId="0" applyNumberFormat="1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2" fontId="3" fillId="3" borderId="0" xfId="0" applyNumberFormat="1" applyFont="1" applyFill="1" applyAlignment="1" applyProtection="1">
      <alignment horizontal="center"/>
    </xf>
    <xf numFmtId="2" fontId="3" fillId="4" borderId="1" xfId="0" applyNumberFormat="1" applyFont="1" applyFill="1" applyBorder="1" applyAlignment="1" applyProtection="1">
      <alignment horizontal="center"/>
    </xf>
    <xf numFmtId="0" fontId="9" fillId="0" borderId="0" xfId="0" applyFont="1" applyFill="1" applyProtection="1"/>
    <xf numFmtId="165" fontId="3" fillId="3" borderId="11" xfId="0" applyNumberFormat="1" applyFont="1" applyFill="1" applyBorder="1" applyAlignment="1" applyProtection="1">
      <alignment horizontal="center"/>
    </xf>
    <xf numFmtId="165" fontId="32" fillId="4" borderId="1" xfId="0" applyNumberFormat="1" applyFont="1" applyFill="1" applyBorder="1" applyAlignment="1" applyProtection="1">
      <alignment horizontal="center"/>
    </xf>
    <xf numFmtId="168" fontId="32" fillId="4" borderId="1" xfId="3" applyNumberFormat="1" applyFont="1" applyFill="1" applyBorder="1" applyAlignment="1" applyProtection="1">
      <alignment horizontal="center"/>
    </xf>
    <xf numFmtId="165" fontId="32" fillId="4" borderId="5" xfId="0" applyNumberFormat="1" applyFont="1" applyFill="1" applyBorder="1" applyAlignment="1" applyProtection="1">
      <alignment horizontal="center"/>
    </xf>
    <xf numFmtId="9" fontId="3" fillId="4" borderId="0" xfId="1" applyFont="1" applyFill="1" applyAlignment="1" applyProtection="1">
      <alignment horizontal="center"/>
    </xf>
    <xf numFmtId="165" fontId="3" fillId="4" borderId="0" xfId="0" applyNumberFormat="1" applyFont="1" applyFill="1" applyAlignment="1" applyProtection="1">
      <alignment horizontal="center"/>
    </xf>
    <xf numFmtId="44" fontId="3" fillId="4" borderId="0" xfId="3" applyFont="1" applyFill="1" applyAlignment="1" applyProtection="1">
      <alignment horizontal="center"/>
    </xf>
    <xf numFmtId="165" fontId="3" fillId="0" borderId="12" xfId="0" applyNumberFormat="1" applyFont="1" applyFill="1" applyBorder="1" applyAlignment="1" applyProtection="1">
      <alignment horizontal="center"/>
    </xf>
    <xf numFmtId="0" fontId="31" fillId="0" borderId="0" xfId="0" applyFont="1" applyFill="1" applyAlignment="1" applyProtection="1">
      <alignment horizontal="center"/>
    </xf>
    <xf numFmtId="167" fontId="3" fillId="4" borderId="0" xfId="1" applyNumberFormat="1" applyFont="1" applyFill="1" applyAlignment="1" applyProtection="1">
      <alignment horizontal="center"/>
    </xf>
    <xf numFmtId="167" fontId="3" fillId="4" borderId="0" xfId="1" applyNumberFormat="1" applyFont="1" applyFill="1" applyProtection="1"/>
    <xf numFmtId="2" fontId="5" fillId="0" borderId="0" xfId="0" applyNumberFormat="1" applyFont="1" applyFill="1" applyProtection="1"/>
    <xf numFmtId="9" fontId="3" fillId="0" borderId="0" xfId="0" applyNumberFormat="1" applyFont="1" applyFill="1" applyProtection="1"/>
    <xf numFmtId="9" fontId="2" fillId="0" borderId="0" xfId="1" applyFont="1" applyFill="1" applyProtection="1"/>
    <xf numFmtId="165" fontId="17" fillId="0" borderId="12" xfId="0" applyNumberFormat="1" applyFont="1" applyFill="1" applyBorder="1" applyAlignment="1" applyProtection="1">
      <alignment horizontal="center"/>
    </xf>
    <xf numFmtId="10" fontId="5" fillId="0" borderId="0" xfId="0" applyNumberFormat="1" applyFont="1" applyFill="1" applyProtection="1"/>
    <xf numFmtId="0" fontId="5" fillId="0" borderId="9" xfId="0" applyFont="1" applyFill="1" applyBorder="1" applyProtection="1"/>
    <xf numFmtId="165" fontId="17" fillId="0" borderId="0" xfId="0" applyNumberFormat="1" applyFont="1" applyFill="1" applyBorder="1" applyAlignment="1" applyProtection="1">
      <alignment horizontal="center"/>
    </xf>
    <xf numFmtId="0" fontId="28" fillId="0" borderId="0" xfId="0" applyFont="1" applyFill="1" applyBorder="1" applyAlignment="1" applyProtection="1">
      <protection locked="0"/>
    </xf>
    <xf numFmtId="0" fontId="33" fillId="0" borderId="0" xfId="0" applyFont="1" applyFill="1" applyProtection="1">
      <protection locked="0"/>
    </xf>
    <xf numFmtId="0" fontId="34" fillId="0" borderId="0" xfId="2" applyFill="1" applyProtection="1"/>
    <xf numFmtId="0" fontId="34" fillId="0" borderId="0" xfId="2" applyFill="1" applyProtection="1">
      <protection locked="0"/>
    </xf>
    <xf numFmtId="0" fontId="34" fillId="0" borderId="0" xfId="2" applyFill="1" applyAlignment="1" applyProtection="1">
      <alignment horizontal="center"/>
    </xf>
    <xf numFmtId="1" fontId="34" fillId="0" borderId="0" xfId="2" applyNumberFormat="1" applyFill="1" applyProtection="1"/>
    <xf numFmtId="0" fontId="36" fillId="5" borderId="13" xfId="0" applyFont="1" applyFill="1" applyBorder="1"/>
    <xf numFmtId="0" fontId="36" fillId="5" borderId="14" xfId="0" applyFont="1" applyFill="1" applyBorder="1"/>
    <xf numFmtId="165" fontId="36" fillId="5" borderId="14" xfId="0" applyNumberFormat="1" applyFont="1" applyFill="1" applyBorder="1" applyAlignment="1">
      <alignment horizontal="center"/>
    </xf>
    <xf numFmtId="1" fontId="35" fillId="5" borderId="15" xfId="0" applyNumberFormat="1" applyFont="1" applyFill="1" applyBorder="1" applyAlignment="1">
      <alignment horizontal="center"/>
    </xf>
    <xf numFmtId="2" fontId="36" fillId="5" borderId="14" xfId="0" applyNumberFormat="1" applyFont="1" applyFill="1" applyBorder="1" applyAlignment="1">
      <alignment horizontal="center"/>
    </xf>
    <xf numFmtId="0" fontId="36" fillId="5" borderId="16" xfId="0" applyFont="1" applyFill="1" applyBorder="1"/>
    <xf numFmtId="0" fontId="36" fillId="5" borderId="17" xfId="0" applyFont="1" applyFill="1" applyBorder="1"/>
    <xf numFmtId="165" fontId="36" fillId="5" borderId="17" xfId="0" applyNumberFormat="1" applyFont="1" applyFill="1" applyBorder="1" applyAlignment="1">
      <alignment horizontal="center"/>
    </xf>
    <xf numFmtId="1" fontId="35" fillId="5" borderId="18" xfId="0" applyNumberFormat="1" applyFont="1" applyFill="1" applyBorder="1" applyAlignment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Protection="1"/>
    <xf numFmtId="0" fontId="5" fillId="6" borderId="0" xfId="0" applyFont="1" applyFill="1" applyProtection="1"/>
    <xf numFmtId="1" fontId="3" fillId="6" borderId="0" xfId="0" applyNumberFormat="1" applyFont="1" applyFill="1" applyProtection="1"/>
    <xf numFmtId="0" fontId="5" fillId="6" borderId="0" xfId="0" applyFont="1" applyFill="1" applyBorder="1" applyProtection="1"/>
    <xf numFmtId="165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7" borderId="0" xfId="0" applyFont="1" applyFill="1" applyAlignment="1" applyProtection="1">
      <alignment horizontal="center"/>
    </xf>
  </cellXfs>
  <cellStyles count="4">
    <cellStyle name="Normal" xfId="0" builtinId="0"/>
    <cellStyle name="Procent" xfId="1" builtinId="5"/>
    <cellStyle name="Rubrik" xfId="2" builtinId="15"/>
    <cellStyle name="Valuta" xfId="3" builtinId="4"/>
  </cellStyles>
  <dxfs count="6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"/>
      <fill>
        <patternFill patternType="solid">
          <fgColor indexed="64"/>
          <bgColor indexed="47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"/>
      <fill>
        <patternFill patternType="solid">
          <fgColor indexed="64"/>
          <bgColor indexed="47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indexed="64"/>
          <bgColor indexed="47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"/>
      <fill>
        <patternFill patternType="solid">
          <fgColor indexed="64"/>
          <bgColor indexed="47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7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7" formatCode="0.0%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7" formatCode="0.0%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62520116596391"/>
          <c:y val="0.1011909908744711"/>
          <c:w val="0.51757886540250597"/>
          <c:h val="0.59821732840496167"/>
        </c:manualLayout>
      </c:layout>
      <c:scatterChart>
        <c:scatterStyle val="lineMarker"/>
        <c:varyColors val="0"/>
        <c:ser>
          <c:idx val="0"/>
          <c:order val="0"/>
          <c:tx>
            <c:strRef>
              <c:f>' endagars'!$R$38</c:f>
              <c:strCache>
                <c:ptCount val="1"/>
                <c:pt idx="0">
                  <c:v>Cau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v-SE"/>
                </a:p>
              </c:txPr>
            </c:trendlineLbl>
          </c:trendline>
          <c:xVal>
            <c:numRef>
              <c:f>' endagars'!$P$39:$P$42</c:f>
              <c:numCache>
                <c:formatCode>General</c:formatCode>
                <c:ptCount val="4"/>
                <c:pt idx="0">
                  <c:v>400</c:v>
                </c:pt>
                <c:pt idx="1">
                  <c:v>500</c:v>
                </c:pt>
                <c:pt idx="2">
                  <c:v>600</c:v>
                </c:pt>
                <c:pt idx="3">
                  <c:v>700</c:v>
                </c:pt>
              </c:numCache>
            </c:numRef>
          </c:xVal>
          <c:yVal>
            <c:numRef>
              <c:f>' endagars'!$Q$39:$Q$42</c:f>
              <c:numCache>
                <c:formatCode>General</c:formatCode>
                <c:ptCount val="4"/>
                <c:pt idx="0">
                  <c:v>25</c:v>
                </c:pt>
                <c:pt idx="1">
                  <c:v>28</c:v>
                </c:pt>
                <c:pt idx="2">
                  <c:v>31</c:v>
                </c:pt>
                <c:pt idx="3">
                  <c:v>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71-4426-8604-4D568862EECC}"/>
            </c:ext>
          </c:extLst>
        </c:ser>
        <c:ser>
          <c:idx val="1"/>
          <c:order val="1"/>
          <c:tx>
            <c:strRef>
              <c:f>' endagars'!$S$38</c:f>
              <c:strCache>
                <c:ptCount val="1"/>
                <c:pt idx="0">
                  <c:v>Pu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v-SE"/>
                </a:p>
              </c:txPr>
            </c:trendlineLbl>
          </c:trendline>
          <c:xVal>
            <c:numRef>
              <c:f>' endagars'!$P$39:$P$42</c:f>
              <c:numCache>
                <c:formatCode>General</c:formatCode>
                <c:ptCount val="4"/>
                <c:pt idx="0">
                  <c:v>400</c:v>
                </c:pt>
                <c:pt idx="1">
                  <c:v>500</c:v>
                </c:pt>
                <c:pt idx="2">
                  <c:v>600</c:v>
                </c:pt>
                <c:pt idx="3">
                  <c:v>700</c:v>
                </c:pt>
              </c:numCache>
            </c:numRef>
          </c:xVal>
          <c:yVal>
            <c:numRef>
              <c:f>' endagars'!$R$39:$R$42</c:f>
              <c:numCache>
                <c:formatCode>General</c:formatCode>
                <c:ptCount val="4"/>
                <c:pt idx="0">
                  <c:v>15</c:v>
                </c:pt>
                <c:pt idx="1">
                  <c:v>17</c:v>
                </c:pt>
                <c:pt idx="2">
                  <c:v>19</c:v>
                </c:pt>
                <c:pt idx="3">
                  <c:v>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671-4426-8604-4D568862EECC}"/>
            </c:ext>
          </c:extLst>
        </c:ser>
        <c:ser>
          <c:idx val="2"/>
          <c:order val="2"/>
          <c:tx>
            <c:strRef>
              <c:f>' endagars'!$T$38</c:f>
              <c:strCache>
                <c:ptCount val="1"/>
                <c:pt idx="0">
                  <c:v>Caf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0.21466459595511789"/>
                  <c:y val="1.723710156249092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v-SE"/>
                </a:p>
              </c:txPr>
            </c:trendlineLbl>
          </c:trendline>
          <c:xVal>
            <c:numRef>
              <c:f>' endagars'!$P$39:$P$42</c:f>
              <c:numCache>
                <c:formatCode>General</c:formatCode>
                <c:ptCount val="4"/>
                <c:pt idx="0">
                  <c:v>400</c:v>
                </c:pt>
                <c:pt idx="1">
                  <c:v>500</c:v>
                </c:pt>
                <c:pt idx="2">
                  <c:v>600</c:v>
                </c:pt>
                <c:pt idx="3">
                  <c:v>700</c:v>
                </c:pt>
              </c:numCache>
            </c:numRef>
          </c:xVal>
          <c:yVal>
            <c:numRef>
              <c:f>' endagars'!$S$39:$S$42</c:f>
              <c:numCache>
                <c:formatCode>General</c:formatCode>
                <c:ptCount val="4"/>
                <c:pt idx="0">
                  <c:v>12</c:v>
                </c:pt>
                <c:pt idx="1">
                  <c:v>15</c:v>
                </c:pt>
                <c:pt idx="2">
                  <c:v>18</c:v>
                </c:pt>
                <c:pt idx="3">
                  <c:v>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671-4426-8604-4D568862EECC}"/>
            </c:ext>
          </c:extLst>
        </c:ser>
        <c:ser>
          <c:idx val="3"/>
          <c:order val="3"/>
          <c:tx>
            <c:strRef>
              <c:f>' endagars'!$U$38</c:f>
              <c:strCache>
                <c:ptCount val="1"/>
                <c:pt idx="0">
                  <c:v>Pf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0.17897124459714231"/>
                  <c:y val="0.11500552180833717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v-SE"/>
                </a:p>
              </c:txPr>
            </c:trendlineLbl>
          </c:trendline>
          <c:xVal>
            <c:numRef>
              <c:f>' endagars'!$P$39:$P$42</c:f>
              <c:numCache>
                <c:formatCode>General</c:formatCode>
                <c:ptCount val="4"/>
                <c:pt idx="0">
                  <c:v>400</c:v>
                </c:pt>
                <c:pt idx="1">
                  <c:v>500</c:v>
                </c:pt>
                <c:pt idx="2">
                  <c:v>600</c:v>
                </c:pt>
                <c:pt idx="3">
                  <c:v>700</c:v>
                </c:pt>
              </c:numCache>
            </c:numRef>
          </c:xVal>
          <c:yVal>
            <c:numRef>
              <c:f>' endagars'!$T$39:$T$42</c:f>
              <c:numCache>
                <c:formatCode>General</c:formatCode>
                <c:ptCount val="4"/>
                <c:pt idx="0">
                  <c:v>9</c:v>
                </c:pt>
                <c:pt idx="1">
                  <c:v>11</c:v>
                </c:pt>
                <c:pt idx="2">
                  <c:v>13</c:v>
                </c:pt>
                <c:pt idx="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671-4426-8604-4D568862E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3229240"/>
        <c:axId val="1"/>
      </c:scatterChart>
      <c:valAx>
        <c:axId val="453229240"/>
        <c:scaling>
          <c:orientation val="minMax"/>
          <c:min val="300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Lev vikt, kg</a:t>
                </a:r>
              </a:p>
            </c:rich>
          </c:tx>
          <c:layout>
            <c:manualLayout>
              <c:xMode val="edge"/>
              <c:yMode val="edge"/>
              <c:x val="0.31445363844622759"/>
              <c:y val="0.803575596215940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Ca P behov gram</a:t>
                </a:r>
              </a:p>
            </c:rich>
          </c:tx>
          <c:layout>
            <c:manualLayout>
              <c:xMode val="edge"/>
              <c:yMode val="edge"/>
              <c:x val="2.7343740220071858E-2"/>
              <c:y val="0.214286901187711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45322924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19077901430839"/>
          <c:y val="9.5923639041522693E-2"/>
          <c:w val="0.25119236883942764"/>
          <c:h val="0.601919975830359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505902033315272E-2"/>
          <c:y val="9.4117883597047758E-2"/>
          <c:w val="0.7071553166234309"/>
          <c:h val="0.65882518517933431"/>
        </c:manualLayout>
      </c:layout>
      <c:scatterChart>
        <c:scatterStyle val="lineMarker"/>
        <c:varyColors val="0"/>
        <c:ser>
          <c:idx val="2"/>
          <c:order val="0"/>
          <c:tx>
            <c:strRef>
              <c:f>' endagars'!$AA$37</c:f>
              <c:strCache>
                <c:ptCount val="1"/>
                <c:pt idx="0">
                  <c:v>NDF%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power"/>
            <c:dispRSqr val="1"/>
            <c:dispEq val="1"/>
            <c:trendlineLbl>
              <c:layout>
                <c:manualLayout>
                  <c:x val="2.9409167992460655E-2"/>
                  <c:y val="-0.19298520210530609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v-SE"/>
                </a:p>
              </c:txPr>
            </c:trendlineLbl>
          </c:trendline>
          <c:xVal>
            <c:numRef>
              <c:f>' endagars'!$X$38:$X$42</c:f>
              <c:numCache>
                <c:formatCode>General</c:formatCode>
                <c:ptCount val="5"/>
                <c:pt idx="0">
                  <c:v>10</c:v>
                </c:pt>
                <c:pt idx="1">
                  <c:v>14.3</c:v>
                </c:pt>
                <c:pt idx="2">
                  <c:v>18.600000000000001</c:v>
                </c:pt>
                <c:pt idx="3">
                  <c:v>22.9</c:v>
                </c:pt>
                <c:pt idx="4">
                  <c:v>27.2</c:v>
                </c:pt>
              </c:numCache>
            </c:numRef>
          </c:xVal>
          <c:yVal>
            <c:numRef>
              <c:f>' endagars'!$AA$38:$AA$42</c:f>
              <c:numCache>
                <c:formatCode>0.00</c:formatCode>
                <c:ptCount val="5"/>
                <c:pt idx="0" formatCode="General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EEF-402D-87EC-182C185B8828}"/>
            </c:ext>
          </c:extLst>
        </c:ser>
        <c:ser>
          <c:idx val="0"/>
          <c:order val="1"/>
          <c:tx>
            <c:strRef>
              <c:f>' endagars'!$Y$37</c:f>
              <c:strCache>
                <c:ptCount val="1"/>
                <c:pt idx="0">
                  <c:v>tsintag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v-SE"/>
                </a:p>
              </c:txPr>
            </c:trendlineLbl>
          </c:trendline>
          <c:xVal>
            <c:numRef>
              <c:f>' endagars'!$X$38:$X$42</c:f>
              <c:numCache>
                <c:formatCode>General</c:formatCode>
                <c:ptCount val="5"/>
                <c:pt idx="0">
                  <c:v>10</c:v>
                </c:pt>
                <c:pt idx="1">
                  <c:v>14.3</c:v>
                </c:pt>
                <c:pt idx="2">
                  <c:v>18.600000000000001</c:v>
                </c:pt>
                <c:pt idx="3">
                  <c:v>22.9</c:v>
                </c:pt>
                <c:pt idx="4">
                  <c:v>27.2</c:v>
                </c:pt>
              </c:numCache>
            </c:numRef>
          </c:xVal>
          <c:yVal>
            <c:numRef>
              <c:f>' endagars'!$Y$38:$Y$42</c:f>
              <c:numCache>
                <c:formatCode>General</c:formatCode>
                <c:ptCount val="5"/>
                <c:pt idx="0">
                  <c:v>10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EEF-402D-87EC-182C185B8828}"/>
            </c:ext>
          </c:extLst>
        </c:ser>
        <c:ser>
          <c:idx val="1"/>
          <c:order val="2"/>
          <c:tx>
            <c:strRef>
              <c:f>' endagars'!$Z$37</c:f>
              <c:strCache>
                <c:ptCount val="1"/>
                <c:pt idx="0">
                  <c:v>råprotein%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og"/>
            <c:dispRSqr val="1"/>
            <c:dispEq val="1"/>
            <c:trendlineLbl>
              <c:layout>
                <c:manualLayout>
                  <c:x val="3.8366612159675219E-2"/>
                  <c:y val="0.12039907592204166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v-SE"/>
                </a:p>
              </c:txPr>
            </c:trendlineLbl>
          </c:trendline>
          <c:xVal>
            <c:numRef>
              <c:f>' endagars'!$X$38:$X$42</c:f>
              <c:numCache>
                <c:formatCode>General</c:formatCode>
                <c:ptCount val="5"/>
                <c:pt idx="0">
                  <c:v>10</c:v>
                </c:pt>
                <c:pt idx="1">
                  <c:v>14.3</c:v>
                </c:pt>
                <c:pt idx="2">
                  <c:v>18.600000000000001</c:v>
                </c:pt>
                <c:pt idx="3">
                  <c:v>22.9</c:v>
                </c:pt>
                <c:pt idx="4">
                  <c:v>27.2</c:v>
                </c:pt>
              </c:numCache>
            </c:numRef>
          </c:xVal>
          <c:yVal>
            <c:numRef>
              <c:f>' endagars'!$Z$38:$Z$42</c:f>
              <c:numCache>
                <c:formatCode>General</c:formatCode>
                <c:ptCount val="5"/>
                <c:pt idx="0">
                  <c:v>13</c:v>
                </c:pt>
                <c:pt idx="1">
                  <c:v>42</c:v>
                </c:pt>
                <c:pt idx="2">
                  <c:v>37</c:v>
                </c:pt>
                <c:pt idx="3">
                  <c:v>34</c:v>
                </c:pt>
                <c:pt idx="4">
                  <c:v>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EEF-402D-87EC-182C185B8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7451808"/>
        <c:axId val="1"/>
      </c:scatterChart>
      <c:valAx>
        <c:axId val="447451808"/>
        <c:scaling>
          <c:orientation val="minMax"/>
          <c:min val="10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Avkastningsnivå</a:t>
                </a:r>
              </a:p>
            </c:rich>
          </c:tx>
          <c:layout>
            <c:manualLayout>
              <c:xMode val="edge"/>
              <c:yMode val="edge"/>
              <c:x val="0.33943448305374874"/>
              <c:y val="0.858825817794153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44745180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407801266689489"/>
          <c:y val="0.16152093814876467"/>
          <c:w val="0.20108738445737762"/>
          <c:h val="0.420429423756709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97792365240394"/>
          <c:y val="8.67348559349638E-2"/>
          <c:w val="0.49301751626427448"/>
          <c:h val="0.67347064608324836"/>
        </c:manualLayout>
      </c:layout>
      <c:scatterChart>
        <c:scatterStyle val="lineMarker"/>
        <c:varyColors val="0"/>
        <c:ser>
          <c:idx val="0"/>
          <c:order val="0"/>
          <c:tx>
            <c:strRef>
              <c:f>' endagars'!$P$59</c:f>
              <c:strCache>
                <c:ptCount val="1"/>
                <c:pt idx="0">
                  <c:v>EnergiDr8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 endagars'!$O$60:$O$63</c:f>
              <c:numCache>
                <c:formatCode>General</c:formatCode>
                <c:ptCount val="4"/>
                <c:pt idx="0">
                  <c:v>400</c:v>
                </c:pt>
                <c:pt idx="1">
                  <c:v>500</c:v>
                </c:pt>
                <c:pt idx="2">
                  <c:v>600</c:v>
                </c:pt>
                <c:pt idx="3">
                  <c:v>700</c:v>
                </c:pt>
              </c:numCache>
            </c:numRef>
          </c:xVal>
          <c:yVal>
            <c:numRef>
              <c:f>' endagars'!$P$60:$P$63</c:f>
              <c:numCache>
                <c:formatCode>General</c:formatCode>
                <c:ptCount val="4"/>
                <c:pt idx="0">
                  <c:v>8</c:v>
                </c:pt>
                <c:pt idx="1">
                  <c:v>11</c:v>
                </c:pt>
                <c:pt idx="2">
                  <c:v>13</c:v>
                </c:pt>
                <c:pt idx="3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FC-4E2F-877D-5CA152444E50}"/>
            </c:ext>
          </c:extLst>
        </c:ser>
        <c:ser>
          <c:idx val="1"/>
          <c:order val="1"/>
          <c:tx>
            <c:strRef>
              <c:f>' endagars'!$Q$59</c:f>
              <c:strCache>
                <c:ptCount val="1"/>
                <c:pt idx="0">
                  <c:v>EnergiDr9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0.36780760307665422"/>
                  <c:y val="4.006796571267747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v-SE"/>
                </a:p>
              </c:txPr>
            </c:trendlineLbl>
          </c:trendline>
          <c:xVal>
            <c:numRef>
              <c:f>' endagars'!$O$60:$O$63</c:f>
              <c:numCache>
                <c:formatCode>General</c:formatCode>
                <c:ptCount val="4"/>
                <c:pt idx="0">
                  <c:v>400</c:v>
                </c:pt>
                <c:pt idx="1">
                  <c:v>500</c:v>
                </c:pt>
                <c:pt idx="2">
                  <c:v>600</c:v>
                </c:pt>
                <c:pt idx="3">
                  <c:v>700</c:v>
                </c:pt>
              </c:numCache>
            </c:numRef>
          </c:xVal>
          <c:yVal>
            <c:numRef>
              <c:f>' endagars'!$Q$60:$Q$63</c:f>
              <c:numCache>
                <c:formatCode>General</c:formatCode>
                <c:ptCount val="4"/>
                <c:pt idx="0">
                  <c:v>15</c:v>
                </c:pt>
                <c:pt idx="1">
                  <c:v>19</c:v>
                </c:pt>
                <c:pt idx="2">
                  <c:v>23</c:v>
                </c:pt>
                <c:pt idx="3">
                  <c:v>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6FC-4E2F-877D-5CA152444E50}"/>
            </c:ext>
          </c:extLst>
        </c:ser>
        <c:ser>
          <c:idx val="2"/>
          <c:order val="2"/>
          <c:tx>
            <c:strRef>
              <c:f>' endagars'!$R$59</c:f>
              <c:strCache>
                <c:ptCount val="1"/>
                <c:pt idx="0">
                  <c:v>AAT Dr8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 endagars'!$O$60:$O$63</c:f>
              <c:numCache>
                <c:formatCode>General</c:formatCode>
                <c:ptCount val="4"/>
                <c:pt idx="0">
                  <c:v>400</c:v>
                </c:pt>
                <c:pt idx="1">
                  <c:v>500</c:v>
                </c:pt>
                <c:pt idx="2">
                  <c:v>600</c:v>
                </c:pt>
                <c:pt idx="3">
                  <c:v>700</c:v>
                </c:pt>
              </c:numCache>
            </c:numRef>
          </c:xVal>
          <c:yVal>
            <c:numRef>
              <c:f>' endagars'!$R$60:$R$63</c:f>
              <c:numCache>
                <c:formatCode>General</c:formatCode>
                <c:ptCount val="4"/>
                <c:pt idx="0">
                  <c:v>68</c:v>
                </c:pt>
                <c:pt idx="1">
                  <c:v>85</c:v>
                </c:pt>
                <c:pt idx="2">
                  <c:v>98</c:v>
                </c:pt>
                <c:pt idx="3">
                  <c:v>109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6FC-4E2F-877D-5CA152444E50}"/>
            </c:ext>
          </c:extLst>
        </c:ser>
        <c:ser>
          <c:idx val="3"/>
          <c:order val="3"/>
          <c:tx>
            <c:strRef>
              <c:f>' endagars'!$S$59</c:f>
              <c:strCache>
                <c:ptCount val="1"/>
                <c:pt idx="0">
                  <c:v>AAT Dr9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0.32338230843733995"/>
                  <c:y val="-6.6326444817144004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v-SE"/>
                </a:p>
              </c:txPr>
            </c:trendlineLbl>
          </c:trendline>
          <c:xVal>
            <c:numRef>
              <c:f>' endagars'!$O$60:$O$63</c:f>
              <c:numCache>
                <c:formatCode>General</c:formatCode>
                <c:ptCount val="4"/>
                <c:pt idx="0">
                  <c:v>400</c:v>
                </c:pt>
                <c:pt idx="1">
                  <c:v>500</c:v>
                </c:pt>
                <c:pt idx="2">
                  <c:v>600</c:v>
                </c:pt>
                <c:pt idx="3">
                  <c:v>700</c:v>
                </c:pt>
              </c:numCache>
            </c:numRef>
          </c:xVal>
          <c:yVal>
            <c:numRef>
              <c:f>' endagars'!$S$60:$S$63</c:f>
              <c:numCache>
                <c:formatCode>General</c:formatCode>
                <c:ptCount val="4"/>
                <c:pt idx="0">
                  <c:v>116</c:v>
                </c:pt>
                <c:pt idx="1">
                  <c:v>146</c:v>
                </c:pt>
                <c:pt idx="2">
                  <c:v>168</c:v>
                </c:pt>
                <c:pt idx="3">
                  <c:v>188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6FC-4E2F-877D-5CA152444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7447872"/>
        <c:axId val="1"/>
      </c:scatterChart>
      <c:valAx>
        <c:axId val="447447872"/>
        <c:scaling>
          <c:orientation val="minMax"/>
          <c:min val="300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Levande vikt</a:t>
                </a:r>
              </a:p>
            </c:rich>
          </c:tx>
          <c:layout>
            <c:manualLayout>
              <c:xMode val="edge"/>
              <c:yMode val="edge"/>
              <c:x val="0.33519604418048426"/>
              <c:y val="0.872450706058436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Behov av energi o AAT under dräktigheten</a:t>
                </a:r>
              </a:p>
            </c:rich>
          </c:tx>
          <c:layout>
            <c:manualLayout>
              <c:xMode val="edge"/>
              <c:yMode val="edge"/>
              <c:x val="2.6536239284082667E-2"/>
              <c:y val="6.8877464697078145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44744787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900029561151269"/>
          <c:y val="0.22520758768790264"/>
          <c:w val="0.26621214157104078"/>
          <c:h val="0.402894188846228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3.jpeg"/><Relationship Id="rId5" Type="http://schemas.openxmlformats.org/officeDocument/2006/relationships/image" Target="../media/image2.jpeg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196850</xdr:colOff>
      <xdr:row>42</xdr:row>
      <xdr:rowOff>50800</xdr:rowOff>
    </xdr:from>
    <xdr:to>
      <xdr:col>21</xdr:col>
      <xdr:colOff>38100</xdr:colOff>
      <xdr:row>55</xdr:row>
      <xdr:rowOff>139700</xdr:rowOff>
    </xdr:to>
    <xdr:graphicFrame macro="">
      <xdr:nvGraphicFramePr>
        <xdr:cNvPr id="6297" name="Chart 2" descr="Figur som visar kalcium och fosfor behov beroende på levande vikt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82550</xdr:colOff>
      <xdr:row>42</xdr:row>
      <xdr:rowOff>31750</xdr:rowOff>
    </xdr:from>
    <xdr:to>
      <xdr:col>29</xdr:col>
      <xdr:colOff>285750</xdr:colOff>
      <xdr:row>55</xdr:row>
      <xdr:rowOff>146050</xdr:rowOff>
    </xdr:to>
    <xdr:graphicFrame macro="">
      <xdr:nvGraphicFramePr>
        <xdr:cNvPr id="6298" name="Chart 4" descr="Figur som visar råproteinbehov och konsumtionsförmåga beroende på avkastningsnivå-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368300</xdr:colOff>
      <xdr:row>56</xdr:row>
      <xdr:rowOff>19050</xdr:rowOff>
    </xdr:from>
    <xdr:to>
      <xdr:col>29</xdr:col>
      <xdr:colOff>298450</xdr:colOff>
      <xdr:row>71</xdr:row>
      <xdr:rowOff>139700</xdr:rowOff>
    </xdr:to>
    <xdr:graphicFrame macro="">
      <xdr:nvGraphicFramePr>
        <xdr:cNvPr id="6299" name="Chart 25" descr="Figur som visar behovet av enggi och AAT under dräktigheten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6</xdr:col>
      <xdr:colOff>488950</xdr:colOff>
      <xdr:row>0</xdr:row>
      <xdr:rowOff>88899</xdr:rowOff>
    </xdr:from>
    <xdr:to>
      <xdr:col>8</xdr:col>
      <xdr:colOff>355600</xdr:colOff>
      <xdr:row>4</xdr:row>
      <xdr:rowOff>236716</xdr:rowOff>
    </xdr:to>
    <xdr:pic>
      <xdr:nvPicPr>
        <xdr:cNvPr id="6300" name="Bildobjekt 1" descr="EU:s logotyp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5700" y="88899"/>
          <a:ext cx="1047750" cy="1024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298450</xdr:colOff>
      <xdr:row>0</xdr:row>
      <xdr:rowOff>107950</xdr:rowOff>
    </xdr:from>
    <xdr:to>
      <xdr:col>13</xdr:col>
      <xdr:colOff>514350</xdr:colOff>
      <xdr:row>6</xdr:row>
      <xdr:rowOff>146050</xdr:rowOff>
    </xdr:to>
    <xdr:pic>
      <xdr:nvPicPr>
        <xdr:cNvPr id="6301" name="Bildobjekt 2" descr="Greppa Näringens logotyp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107950"/>
          <a:ext cx="2609850" cy="137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107950</xdr:colOff>
      <xdr:row>32</xdr:row>
      <xdr:rowOff>12700</xdr:rowOff>
    </xdr:from>
    <xdr:to>
      <xdr:col>14</xdr:col>
      <xdr:colOff>0</xdr:colOff>
      <xdr:row>37</xdr:row>
      <xdr:rowOff>50800</xdr:rowOff>
    </xdr:to>
    <xdr:pic>
      <xdr:nvPicPr>
        <xdr:cNvPr id="6302" name="Bildobjekt 6" descr="Greppa Näringens logotyp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6997700"/>
          <a:ext cx="2209800" cy="1168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184150</xdr:colOff>
      <xdr:row>32</xdr:row>
      <xdr:rowOff>12700</xdr:rowOff>
    </xdr:from>
    <xdr:to>
      <xdr:col>9</xdr:col>
      <xdr:colOff>176188</xdr:colOff>
      <xdr:row>36</xdr:row>
      <xdr:rowOff>165100</xdr:rowOff>
    </xdr:to>
    <xdr:pic>
      <xdr:nvPicPr>
        <xdr:cNvPr id="6303" name="Bildobjekt 7" descr="EU:s logotyp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0500" y="6997700"/>
          <a:ext cx="1110908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ell5" displayName="Tabell5" ref="A7:F14" totalsRowShown="0" headerRowDxfId="62">
  <autoFilter ref="A7:F14" xr:uid="{00000000-0009-0000-0100-000005000000}"/>
  <tableColumns count="6">
    <tableColumn id="1" xr3:uid="{00000000-0010-0000-0000-000001000000}" name="Kolumn1"/>
    <tableColumn id="2" xr3:uid="{00000000-0010-0000-0000-000002000000}" name="Totalt"/>
    <tableColumn id="3" xr3:uid="{00000000-0010-0000-0000-000003000000}" name="äldre"/>
    <tableColumn id="4" xr3:uid="{00000000-0010-0000-0000-000004000000}" name="1:a kalvare"/>
    <tableColumn id="5" xr3:uid="{00000000-0010-0000-0000-000005000000}" name="Kvigor"/>
    <tableColumn id="6" xr3:uid="{00000000-0010-0000-0000-000006000000}" name="Sinkor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9000000}" name="Tabell1" displayName="Tabell1" ref="P36:U42" totalsRowShown="0" headerRowDxfId="29">
  <autoFilter ref="P36:U42" xr:uid="{00000000-0009-0000-0100-000001000000}"/>
  <tableColumns count="6">
    <tableColumn id="1" xr3:uid="{00000000-0010-0000-0900-000001000000}" name="Levande vikt" dataDxfId="28"/>
    <tableColumn id="2" xr3:uid="{00000000-0010-0000-0900-000002000000}" name="Behov av " dataDxfId="27"/>
    <tableColumn id="3" xr3:uid="{00000000-0010-0000-0900-000003000000}" name="kalcium" dataDxfId="26"/>
    <tableColumn id="4" xr3:uid="{00000000-0010-0000-0900-000004000000}" name="fosfor" dataDxfId="25"/>
    <tableColumn id="5" xr3:uid="{00000000-0010-0000-0900-000005000000}" name="kalcium2" dataDxfId="24"/>
    <tableColumn id="6" xr3:uid="{00000000-0010-0000-0900-000006000000}" name="fosfor2" dataDxfId="23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A000000}" name="Tabell2" displayName="Tabell2" ref="W37:AA42" totalsRowShown="0" headerRowDxfId="22" dataDxfId="21">
  <autoFilter ref="W37:AA42" xr:uid="{00000000-0009-0000-0100-000002000000}"/>
  <tableColumns count="5">
    <tableColumn id="1" xr3:uid="{00000000-0010-0000-0A00-000001000000}" name="Mjölkavkastn" dataDxfId="20"/>
    <tableColumn id="2" xr3:uid="{00000000-0010-0000-0A00-000002000000}" name="avkastningsnivå" dataDxfId="19"/>
    <tableColumn id="3" xr3:uid="{00000000-0010-0000-0A00-000003000000}" name="tsintag" dataDxfId="18"/>
    <tableColumn id="4" xr3:uid="{00000000-0010-0000-0A00-000004000000}" name="råprotein%" dataDxfId="17"/>
    <tableColumn id="5" xr3:uid="{00000000-0010-0000-0A00-000005000000}" name="NDF%" dataDxfId="16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B000000}" name="Tabell4" displayName="Tabell4" ref="O57:S63" totalsRowShown="0" headerRowDxfId="15" dataDxfId="14">
  <autoFilter ref="O57:S63" xr:uid="{00000000-0009-0000-0100-000004000000}"/>
  <tableColumns count="5">
    <tableColumn id="1" xr3:uid="{00000000-0010-0000-0B00-000001000000}" name="Behov av " dataDxfId="13"/>
    <tableColumn id="2" xr3:uid="{00000000-0010-0000-0B00-000002000000}" name="Energi" dataDxfId="12"/>
    <tableColumn id="3" xr3:uid="{00000000-0010-0000-0B00-000003000000}" name="Energi2" dataDxfId="11"/>
    <tableColumn id="4" xr3:uid="{00000000-0010-0000-0B00-000004000000}" name="AAT" dataDxfId="10"/>
    <tableColumn id="5" xr3:uid="{00000000-0010-0000-0B00-000005000000}" name="AAT2" dataDxfId="9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C000000}" name="Tabell3" displayName="Tabell3" ref="P3:W13" totalsRowShown="0" headerRowDxfId="8" dataDxfId="7">
  <autoFilter ref="P3:W13" xr:uid="{00000000-0009-0000-0100-000003000000}"/>
  <tableColumns count="8">
    <tableColumn id="1" xr3:uid="{00000000-0010-0000-0C00-000001000000}" name="Kornas näringsbehov" dataDxfId="6"/>
    <tableColumn id="2" xr3:uid="{00000000-0010-0000-0C00-000002000000}" name="Antal kor" dataDxfId="5" dataCellStyle="Procent"/>
    <tableColumn id="3" xr3:uid="{00000000-0010-0000-0C00-000003000000}" name="Vikt/prod " dataDxfId="4" dataCellStyle="Procent"/>
    <tableColumn id="4" xr3:uid="{00000000-0010-0000-0C00-000004000000}" name="NEL20, MJ" dataDxfId="3"/>
    <tableColumn id="5" xr3:uid="{00000000-0010-0000-0C00-000005000000}" name="AAT20, g" dataDxfId="2"/>
    <tableColumn id="6" xr3:uid="{00000000-0010-0000-0C00-000006000000}" name="Ca g" dataDxfId="1"/>
    <tableColumn id="7" xr3:uid="{00000000-0010-0000-0C00-000007000000}" name="P g" dataDxfId="0"/>
    <tableColumn id="8" xr3:uid="{00000000-0010-0000-0C00-000008000000}" name="E-vit mg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Tabell7" displayName="Tabell7" ref="A17:AD32" totalsRowShown="0">
  <autoFilter ref="A17:AD32" xr:uid="{00000000-0009-0000-0100-000007000000}"/>
  <tableColumns count="30">
    <tableColumn id="1" xr3:uid="{00000000-0010-0000-0100-000001000000}" name="Fodermedel"/>
    <tableColumn id="2" xr3:uid="{00000000-0010-0000-0100-000002000000}" name="kg foder"/>
    <tableColumn id="3" xr3:uid="{00000000-0010-0000-0100-000003000000}" name="Ts-halt, %" dataDxfId="61"/>
    <tableColumn id="4" xr3:uid="{00000000-0010-0000-0100-000004000000}" name="Grf %" dataDxfId="60"/>
    <tableColumn id="5" xr3:uid="{00000000-0010-0000-0100-000005000000}" name="Energi, MJ" dataDxfId="59"/>
    <tableColumn id="6" xr3:uid="{00000000-0010-0000-0100-000006000000}" name="AAT, g" dataDxfId="58"/>
    <tableColumn id="7" xr3:uid="{00000000-0010-0000-0100-000007000000}" name="PBV, g" dataDxfId="57"/>
    <tableColumn id="8" xr3:uid="{00000000-0010-0000-0100-000008000000}" name="Råprot, g" dataDxfId="56"/>
    <tableColumn id="9" xr3:uid="{00000000-0010-0000-0100-000009000000}" name="NDF, g" dataDxfId="55"/>
    <tableColumn id="10" xr3:uid="{00000000-0010-0000-0100-00000A000000}" name="Ca, g" dataDxfId="54"/>
    <tableColumn id="11" xr3:uid="{00000000-0010-0000-0100-00000B000000}" name="P, g" dataDxfId="53"/>
    <tableColumn id="12" xr3:uid="{00000000-0010-0000-0100-00000C000000}" name="Pris, öre"/>
    <tableColumn id="13" xr3:uid="{00000000-0010-0000-0100-00000D000000}" name="E-vit mg"/>
    <tableColumn id="14" xr3:uid="{00000000-0010-0000-0100-00000E000000}" name="köpfoder"/>
    <tableColumn id="15" xr3:uid="{00000000-0010-0000-0100-00000F000000}" name="KRAV"/>
    <tableColumn id="16" xr3:uid="{00000000-0010-0000-0100-000010000000}" name="el. ingår i mix" dataDxfId="52"/>
    <tableColumn id="17" xr3:uid="{00000000-0010-0000-0100-000011000000}" name="kg rest+ungdjur" dataDxfId="51"/>
    <tableColumn id="18" xr3:uid="{00000000-0010-0000-0100-000012000000}" name="Kg ts foder"/>
    <tableColumn id="19" xr3:uid="{00000000-0010-0000-0100-000013000000}" name="kg ts grf"/>
    <tableColumn id="20" xr3:uid="{00000000-0010-0000-0100-000014000000}" name="Energi, MJ2"/>
    <tableColumn id="21" xr3:uid="{00000000-0010-0000-0100-000015000000}" name="AAT, g2"/>
    <tableColumn id="22" xr3:uid="{00000000-0010-0000-0100-000016000000}" name="PBV, g2"/>
    <tableColumn id="23" xr3:uid="{00000000-0010-0000-0100-000017000000}" name="Råprot, g2"/>
    <tableColumn id="24" xr3:uid="{00000000-0010-0000-0100-000018000000}" name="NDF, g2"/>
    <tableColumn id="25" xr3:uid="{00000000-0010-0000-0100-000019000000}" name="Ca, g2"/>
    <tableColumn id="26" xr3:uid="{00000000-0010-0000-0100-00001A000000}" name="P, g2"/>
    <tableColumn id="27" xr3:uid="{00000000-0010-0000-0100-00001B000000}" name="Kostn kr"/>
    <tableColumn id="28" xr3:uid="{00000000-0010-0000-0100-00001C000000}" name="E-vit, mg"/>
    <tableColumn id="29" xr3:uid="{00000000-0010-0000-0100-00001D000000}" name="InköptRp"/>
    <tableColumn id="30" xr3:uid="{00000000-0010-0000-0100-00001E000000}" name="KRAV8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Tabell12" displayName="Tabell12" ref="A39:F48" totalsRowShown="0">
  <autoFilter ref="A39:F48" xr:uid="{00000000-0009-0000-0100-00000C000000}"/>
  <tableColumns count="6">
    <tableColumn id="1" xr3:uid="{00000000-0010-0000-0200-000001000000}" name="Resultat" dataDxfId="50"/>
    <tableColumn id="2" xr3:uid="{00000000-0010-0000-0200-000002000000}" name="Kolumn1" dataDxfId="49"/>
    <tableColumn id="3" xr3:uid="{00000000-0010-0000-0200-000003000000}" name="Kolumn2" dataDxfId="48"/>
    <tableColumn id="4" xr3:uid="{00000000-0010-0000-0200-000004000000}" name="Eget resultat"/>
    <tableColumn id="5" xr3:uid="{00000000-0010-0000-0200-000005000000}" name="Riktvärde" dataDxfId="47"/>
    <tableColumn id="6" xr3:uid="{00000000-0010-0000-0200-000006000000}" name="jfr LFU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3000000}" name="Tabell14" displayName="Tabell14" ref="G39:K48" totalsRowShown="0">
  <autoFilter ref="G39:K48" xr:uid="{00000000-0009-0000-0100-00000E000000}"/>
  <tableColumns count="5">
    <tableColumn id="1" xr3:uid="{00000000-0010-0000-0300-000001000000}" name="Utfodrat" dataDxfId="46"/>
    <tableColumn id="2" xr3:uid="{00000000-0010-0000-0300-000002000000}" name="Kolumn2" dataDxfId="45"/>
    <tableColumn id="3" xr3:uid="{00000000-0010-0000-0300-000003000000}" name="Eget resultat" dataDxfId="44"/>
    <tableColumn id="4" xr3:uid="{00000000-0010-0000-0300-000004000000}" name="Riktvärde"/>
    <tableColumn id="5" xr3:uid="{00000000-0010-0000-0300-000005000000}" name="jfr LFU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4000000}" name="Tabell15" displayName="Tabell15" ref="A50:B53" totalsRowShown="0">
  <autoFilter ref="A50:B53" xr:uid="{00000000-0009-0000-0100-00000F000000}"/>
  <tableColumns count="2">
    <tableColumn id="1" xr3:uid="{00000000-0010-0000-0400-000001000000}" name="Mjölkintäkt-foderkostnad"/>
    <tableColumn id="2" xr3:uid="{00000000-0010-0000-0400-000002000000}" name="Kolumn2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5000000}" name="Tabell16" displayName="Tabell16" ref="G50:J53" totalsRowShown="0">
  <autoFilter ref="G50:J53" xr:uid="{00000000-0009-0000-0100-000010000000}"/>
  <tableColumns count="4">
    <tableColumn id="1" xr3:uid="{00000000-0010-0000-0500-000001000000}" name="Mineralbalans" dataDxfId="43" dataCellStyle="Procent"/>
    <tableColumn id="2" xr3:uid="{00000000-0010-0000-0500-000002000000}" name="Kolumn2"/>
    <tableColumn id="3" xr3:uid="{00000000-0010-0000-0500-000003000000}" name="Kolumn3" dataDxfId="42" dataCellStyle="Procent"/>
    <tableColumn id="4" xr3:uid="{00000000-0010-0000-0500-000004000000}" name="Kolumn4" dataDxfId="41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6000000}" name="Tabell18" displayName="Tabell18" ref="G55:J57" totalsRowShown="0" tableBorderDxfId="40">
  <autoFilter ref="G55:J57" xr:uid="{00000000-0009-0000-0100-000012000000}"/>
  <tableColumns count="4">
    <tableColumn id="1" xr3:uid="{00000000-0010-0000-0600-000001000000}" name="Kväveeffektivitet" dataDxfId="39"/>
    <tableColumn id="2" xr3:uid="{00000000-0010-0000-0600-000002000000}" name="Kolumn2" dataDxfId="38"/>
    <tableColumn id="3" xr3:uid="{00000000-0010-0000-0600-000003000000}" name="Kolumn3">
      <calculatedColumnFormula>AC28/W28</calculatedColumnFormula>
    </tableColumn>
    <tableColumn id="4" xr3:uid="{00000000-0010-0000-0600-000004000000}" name="Kolumn4" dataDxfId="37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7000000}" name="Tabell19" displayName="Tabell19" ref="A57:D59" totalsRowShown="0">
  <autoFilter ref="A57:D59" xr:uid="{00000000-0009-0000-0100-000013000000}"/>
  <tableColumns count="4">
    <tableColumn id="1" xr3:uid="{00000000-0010-0000-0700-000001000000}" name="Fodereffektivitet" dataDxfId="36"/>
    <tableColumn id="2" xr3:uid="{00000000-0010-0000-0700-000002000000}" name="Kolumn2" dataDxfId="35"/>
    <tableColumn id="3" xr3:uid="{00000000-0010-0000-0700-000003000000}" name="Kolumn3">
      <calculatedColumnFormula>D39/R28</calculatedColumnFormula>
    </tableColumn>
    <tableColumn id="4" xr3:uid="{00000000-0010-0000-0700-000004000000}" name="Kolumn4" dataDxfId="34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8000000}" name="Tabell20" displayName="Tabell20" ref="A61:D63" totalsRowShown="0">
  <autoFilter ref="A61:D63" xr:uid="{00000000-0009-0000-0100-000014000000}"/>
  <tableColumns count="4">
    <tableColumn id="1" xr3:uid="{00000000-0010-0000-0800-000001000000}" name="Utfodring % av norm" dataDxfId="33" dataCellStyle="Procent"/>
    <tableColumn id="2" xr3:uid="{00000000-0010-0000-0800-000002000000}" name="Kolumn2" dataDxfId="32" dataCellStyle="Procent"/>
    <tableColumn id="3" xr3:uid="{00000000-0010-0000-0800-000003000000}" name="Kolumn3" dataDxfId="31" dataCellStyle="Procent">
      <calculatedColumnFormula>U28/T12</calculatedColumnFormula>
    </tableColumn>
    <tableColumn id="4" xr3:uid="{00000000-0010-0000-0800-000004000000}" name="Kolumn4" dataDxfId="30" dataCellStyle="Procen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13" Type="http://schemas.openxmlformats.org/officeDocument/2006/relationships/table" Target="../tables/table10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4.xml"/><Relationship Id="rId12" Type="http://schemas.openxmlformats.org/officeDocument/2006/relationships/table" Target="../tables/table9.xml"/><Relationship Id="rId17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table" Target="../tables/table13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11" Type="http://schemas.openxmlformats.org/officeDocument/2006/relationships/table" Target="../tables/table8.xml"/><Relationship Id="rId5" Type="http://schemas.openxmlformats.org/officeDocument/2006/relationships/table" Target="../tables/table2.xml"/><Relationship Id="rId15" Type="http://schemas.openxmlformats.org/officeDocument/2006/relationships/table" Target="../tables/table12.xml"/><Relationship Id="rId10" Type="http://schemas.openxmlformats.org/officeDocument/2006/relationships/table" Target="../tables/table7.xml"/><Relationship Id="rId4" Type="http://schemas.openxmlformats.org/officeDocument/2006/relationships/table" Target="../tables/table1.xml"/><Relationship Id="rId9" Type="http://schemas.openxmlformats.org/officeDocument/2006/relationships/table" Target="../tables/table6.xml"/><Relationship Id="rId14" Type="http://schemas.openxmlformats.org/officeDocument/2006/relationships/table" Target="../tables/table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2"/>
  <sheetViews>
    <sheetView tabSelected="1" zoomScaleNormal="100" workbookViewId="0">
      <selection activeCell="I56" sqref="I56"/>
    </sheetView>
  </sheetViews>
  <sheetFormatPr defaultColWidth="9.21875" defaultRowHeight="15" x14ac:dyDescent="0.25"/>
  <cols>
    <col min="1" max="1" width="14.77734375" style="2" customWidth="1"/>
    <col min="2" max="2" width="11.77734375" style="2" customWidth="1"/>
    <col min="3" max="3" width="10.77734375" style="2" customWidth="1"/>
    <col min="4" max="4" width="9.77734375" style="2" customWidth="1"/>
    <col min="5" max="5" width="9" style="2" customWidth="1"/>
    <col min="6" max="6" width="7.77734375" style="2" customWidth="1"/>
    <col min="7" max="7" width="8.77734375" style="2" customWidth="1"/>
    <col min="8" max="8" width="8.21875" style="2" customWidth="1"/>
    <col min="9" max="9" width="7.77734375" style="2" customWidth="1"/>
    <col min="10" max="10" width="9.77734375" style="2" customWidth="1"/>
    <col min="11" max="11" width="8" style="2" customWidth="1"/>
    <col min="12" max="12" width="9.77734375" style="2" customWidth="1"/>
    <col min="13" max="13" width="6.5546875" style="2" customWidth="1"/>
    <col min="14" max="14" width="9.21875" style="2" customWidth="1"/>
    <col min="15" max="15" width="10.77734375" style="2" customWidth="1"/>
    <col min="16" max="16" width="17.77734375" style="2" customWidth="1"/>
    <col min="17" max="17" width="13" style="2" customWidth="1"/>
    <col min="18" max="18" width="11.77734375" style="2" customWidth="1"/>
    <col min="19" max="20" width="11.44140625" style="2" customWidth="1"/>
    <col min="21" max="22" width="9.5546875" style="2" customWidth="1"/>
    <col min="23" max="23" width="11.77734375" style="2" customWidth="1"/>
    <col min="24" max="24" width="16.77734375" style="2" customWidth="1"/>
    <col min="25" max="25" width="8.77734375" style="2" customWidth="1"/>
    <col min="26" max="26" width="12.21875" style="2" customWidth="1"/>
    <col min="27" max="28" width="10.44140625" style="2" customWidth="1"/>
    <col min="29" max="29" width="9.21875" style="2" customWidth="1"/>
    <col min="30" max="30" width="8.77734375" style="2" customWidth="1"/>
    <col min="31" max="16384" width="9.21875" style="2"/>
  </cols>
  <sheetData>
    <row r="1" spans="1:34" s="194" customFormat="1" ht="22.8" x14ac:dyDescent="0.4">
      <c r="A1" s="193" t="s">
        <v>164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O1" s="195"/>
      <c r="P1" s="195"/>
      <c r="Q1" s="195"/>
      <c r="R1" s="195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</row>
    <row r="2" spans="1:34" ht="15.6" x14ac:dyDescent="0.3">
      <c r="A2" s="192"/>
      <c r="B2" s="192"/>
      <c r="C2" s="192"/>
      <c r="D2" s="192"/>
      <c r="G2" s="35"/>
      <c r="H2" s="35"/>
      <c r="I2" s="29"/>
      <c r="J2" s="29"/>
      <c r="K2" s="29"/>
      <c r="L2" s="36"/>
      <c r="M2" s="37"/>
      <c r="N2" s="29"/>
      <c r="O2" s="29"/>
      <c r="Q2" s="84"/>
      <c r="R2" s="84"/>
      <c r="S2" s="138"/>
      <c r="T2" s="138"/>
      <c r="U2" s="138"/>
      <c r="V2" s="138"/>
      <c r="W2" s="29"/>
      <c r="X2" s="29"/>
      <c r="Y2" s="29"/>
      <c r="Z2" s="29"/>
      <c r="AA2" s="29"/>
      <c r="AB2" s="29"/>
      <c r="AC2" s="29"/>
      <c r="AD2" s="136"/>
      <c r="AE2" s="136"/>
      <c r="AF2" s="3"/>
    </row>
    <row r="3" spans="1:34" ht="15.6" x14ac:dyDescent="0.3">
      <c r="A3" s="29" t="s">
        <v>7</v>
      </c>
      <c r="B3" s="6" t="s">
        <v>162</v>
      </c>
      <c r="C3" s="29"/>
      <c r="D3" s="29" t="s">
        <v>8</v>
      </c>
      <c r="E3" s="29"/>
      <c r="F3" s="4">
        <v>44882</v>
      </c>
      <c r="G3" s="35"/>
      <c r="H3" s="35"/>
      <c r="I3" s="38"/>
      <c r="J3" s="39"/>
      <c r="K3" s="40"/>
      <c r="M3" s="38"/>
      <c r="N3" s="40"/>
      <c r="O3" s="40"/>
      <c r="P3" s="137" t="s">
        <v>94</v>
      </c>
      <c r="Q3" s="69" t="s">
        <v>1</v>
      </c>
      <c r="R3" s="206" t="s">
        <v>170</v>
      </c>
      <c r="S3" s="214" t="s">
        <v>183</v>
      </c>
      <c r="T3" s="214" t="s">
        <v>182</v>
      </c>
      <c r="U3" s="69" t="s">
        <v>95</v>
      </c>
      <c r="V3" s="69" t="s">
        <v>96</v>
      </c>
      <c r="W3" s="69" t="s">
        <v>77</v>
      </c>
      <c r="X3" s="37"/>
      <c r="Y3" s="37"/>
      <c r="Z3" s="29"/>
      <c r="AA3" s="29"/>
      <c r="AB3" s="29"/>
      <c r="AC3" s="29"/>
      <c r="AD3" s="136"/>
      <c r="AE3" s="136"/>
      <c r="AF3" s="3"/>
    </row>
    <row r="4" spans="1:34" ht="15.6" x14ac:dyDescent="0.3">
      <c r="A4" s="29" t="s">
        <v>10</v>
      </c>
      <c r="B4" s="6" t="s">
        <v>162</v>
      </c>
      <c r="C4" s="34"/>
      <c r="D4" s="29" t="s">
        <v>9</v>
      </c>
      <c r="E4" s="37"/>
      <c r="F4" s="7">
        <v>1</v>
      </c>
      <c r="G4" s="35"/>
      <c r="H4" s="35"/>
      <c r="I4" s="38"/>
      <c r="J4" s="42"/>
      <c r="K4" s="43"/>
      <c r="L4" s="44"/>
      <c r="M4" s="43"/>
      <c r="N4" s="43"/>
      <c r="O4" s="43"/>
      <c r="P4" s="137" t="s">
        <v>47</v>
      </c>
      <c r="Q4" s="139"/>
      <c r="R4" s="139">
        <f>B9</f>
        <v>597.4</v>
      </c>
      <c r="S4" s="140">
        <f>($R4^0.75)*0.517</f>
        <v>62.472582148195833</v>
      </c>
      <c r="T4" s="140">
        <f>($R4^0.75)*3.25</f>
        <v>392.71932685036063</v>
      </c>
      <c r="U4" s="140">
        <f>0.03*R4+13</f>
        <v>30.921999999999997</v>
      </c>
      <c r="V4" s="141">
        <f>0.02*R4+7</f>
        <v>18.948</v>
      </c>
      <c r="W4" s="142"/>
      <c r="X4" s="37"/>
      <c r="Y4" s="37"/>
      <c r="Z4" s="29"/>
      <c r="AA4" s="29"/>
      <c r="AB4" s="29"/>
      <c r="AC4" s="29"/>
      <c r="AD4" s="136"/>
      <c r="AE4" s="136"/>
      <c r="AF4" s="3"/>
    </row>
    <row r="5" spans="1:34" ht="19.2" x14ac:dyDescent="0.35">
      <c r="A5" s="50"/>
      <c r="B5" s="189"/>
      <c r="C5" s="29"/>
      <c r="D5" s="29"/>
      <c r="E5" s="29"/>
      <c r="F5" s="29"/>
      <c r="G5" s="35"/>
      <c r="H5" s="35"/>
      <c r="I5" s="38"/>
      <c r="J5" s="45"/>
      <c r="K5" s="46"/>
      <c r="L5" s="44"/>
      <c r="M5" s="46"/>
      <c r="N5" s="46"/>
      <c r="O5" s="46"/>
      <c r="P5" s="143" t="s">
        <v>112</v>
      </c>
      <c r="Q5" s="139">
        <f>E8+F8</f>
        <v>20</v>
      </c>
      <c r="R5" s="139"/>
      <c r="S5" s="140">
        <f>Q5*S4</f>
        <v>1249.4516429639166</v>
      </c>
      <c r="T5" s="140">
        <f>T4*(Q5)</f>
        <v>7854.3865370072126</v>
      </c>
      <c r="U5" s="144">
        <f>U4*Q5</f>
        <v>618.43999999999994</v>
      </c>
      <c r="V5" s="141">
        <f>V4*Q5</f>
        <v>378.96000000000004</v>
      </c>
      <c r="W5" s="144"/>
      <c r="X5" s="37"/>
      <c r="Y5" s="37"/>
      <c r="Z5" s="37"/>
      <c r="AA5" s="37"/>
      <c r="AB5" s="37"/>
      <c r="AC5" s="29"/>
      <c r="AD5" s="136"/>
      <c r="AE5" s="136"/>
      <c r="AF5" s="3"/>
    </row>
    <row r="6" spans="1:34" ht="17.399999999999999" x14ac:dyDescent="0.3">
      <c r="A6" s="51" t="s">
        <v>67</v>
      </c>
      <c r="B6" s="52"/>
      <c r="C6" s="54" t="s">
        <v>42</v>
      </c>
      <c r="D6" s="57"/>
      <c r="E6" s="58" t="s">
        <v>54</v>
      </c>
      <c r="F6" s="59"/>
      <c r="G6" s="35"/>
      <c r="H6" s="29"/>
      <c r="I6" s="38"/>
      <c r="J6" s="47"/>
      <c r="K6" s="35"/>
      <c r="L6" s="48"/>
      <c r="M6" s="42"/>
      <c r="N6" s="35"/>
      <c r="O6" s="35"/>
      <c r="P6" s="145" t="s">
        <v>113</v>
      </c>
      <c r="Q6" s="146">
        <f>C8+D8</f>
        <v>80</v>
      </c>
      <c r="R6" s="29"/>
      <c r="S6" s="140"/>
      <c r="T6" s="147"/>
      <c r="U6" s="144">
        <f>Q6*U4</f>
        <v>2473.7599999999998</v>
      </c>
      <c r="V6" s="148">
        <f>V4*Q6</f>
        <v>1515.8400000000001</v>
      </c>
      <c r="W6" s="149"/>
      <c r="X6" s="37"/>
      <c r="Y6" s="29"/>
      <c r="Z6" s="37"/>
      <c r="AA6" s="37"/>
      <c r="AB6" s="37"/>
      <c r="AC6" s="29"/>
      <c r="AD6" s="136"/>
      <c r="AE6" s="136"/>
      <c r="AF6" s="3"/>
    </row>
    <row r="7" spans="1:34" ht="17.399999999999999" x14ac:dyDescent="0.3">
      <c r="A7" s="37" t="s">
        <v>165</v>
      </c>
      <c r="B7" s="53" t="s">
        <v>11</v>
      </c>
      <c r="C7" s="55" t="s">
        <v>43</v>
      </c>
      <c r="D7" s="55" t="s">
        <v>12</v>
      </c>
      <c r="E7" s="55" t="s">
        <v>44</v>
      </c>
      <c r="F7" s="55" t="s">
        <v>28</v>
      </c>
      <c r="G7" s="35"/>
      <c r="H7" s="35" t="s">
        <v>136</v>
      </c>
      <c r="I7" s="38"/>
      <c r="J7" s="49"/>
      <c r="K7" s="35"/>
      <c r="L7" s="42"/>
      <c r="M7" s="42"/>
      <c r="N7" s="35"/>
      <c r="O7" s="35"/>
      <c r="P7" s="137" t="s">
        <v>114</v>
      </c>
      <c r="Q7" s="139"/>
      <c r="R7" s="150">
        <f>E14</f>
        <v>32.610270700636946</v>
      </c>
      <c r="S7" s="140">
        <f>(5*R7+S4)*1.11-13.6</f>
        <v>236.73156857303243</v>
      </c>
      <c r="T7" s="140">
        <f>S7*7.6</f>
        <v>1799.1599211550465</v>
      </c>
      <c r="U7" s="140">
        <f>2.6*R7</f>
        <v>84.786703821656062</v>
      </c>
      <c r="V7" s="141">
        <f>1.6*R7</f>
        <v>52.176433121019116</v>
      </c>
      <c r="W7" s="140">
        <f>R29*20</f>
        <v>16.8</v>
      </c>
      <c r="X7" s="37"/>
      <c r="Y7" s="29"/>
      <c r="Z7" s="37"/>
      <c r="AA7" s="37"/>
      <c r="AB7" s="37"/>
      <c r="AC7" s="29"/>
      <c r="AD7" s="136"/>
      <c r="AE7" s="136"/>
      <c r="AF7" s="3"/>
    </row>
    <row r="8" spans="1:34" ht="18" thickBot="1" x14ac:dyDescent="0.35">
      <c r="A8" s="60" t="s">
        <v>1</v>
      </c>
      <c r="B8" s="9">
        <v>100</v>
      </c>
      <c r="C8" s="56">
        <f>B8-D8-E8-F8</f>
        <v>45</v>
      </c>
      <c r="D8" s="7">
        <v>35</v>
      </c>
      <c r="E8" s="7">
        <v>8</v>
      </c>
      <c r="F8" s="7">
        <v>12</v>
      </c>
      <c r="G8" s="35"/>
      <c r="H8" s="10">
        <v>4</v>
      </c>
      <c r="I8" s="29"/>
      <c r="J8" s="29"/>
      <c r="K8" s="29"/>
      <c r="L8" s="29"/>
      <c r="M8" s="29"/>
      <c r="N8" s="29"/>
      <c r="O8" s="35"/>
      <c r="P8" s="143" t="s">
        <v>36</v>
      </c>
      <c r="Q8" s="139">
        <f>C8+D8</f>
        <v>80</v>
      </c>
      <c r="R8" s="139"/>
      <c r="S8" s="140">
        <f>Q8*S7</f>
        <v>18938.525485842594</v>
      </c>
      <c r="T8" s="140">
        <f>T7*Q8</f>
        <v>143932.79369240371</v>
      </c>
      <c r="U8" s="140">
        <f>Q8*U7</f>
        <v>6782.9363057324845</v>
      </c>
      <c r="V8" s="141">
        <f>V7*Q8</f>
        <v>4174.114649681529</v>
      </c>
      <c r="W8" s="151">
        <f>W7*Q8</f>
        <v>1344</v>
      </c>
      <c r="X8" s="37"/>
      <c r="Y8" s="37"/>
      <c r="Z8" s="37"/>
      <c r="AA8" s="37"/>
      <c r="AB8" s="37"/>
      <c r="AC8" s="29"/>
      <c r="AD8" s="136"/>
      <c r="AE8" s="136"/>
      <c r="AF8" s="3"/>
    </row>
    <row r="9" spans="1:34" ht="17.399999999999999" x14ac:dyDescent="0.3">
      <c r="A9" s="60" t="s">
        <v>13</v>
      </c>
      <c r="B9" s="63">
        <f>(C8*C9+D8*D9+E8*E9+F8*F9)/(C8+D8+E8+F8)</f>
        <v>597.4</v>
      </c>
      <c r="C9" s="9">
        <v>600</v>
      </c>
      <c r="D9" s="7">
        <v>580</v>
      </c>
      <c r="E9" s="7">
        <v>580</v>
      </c>
      <c r="F9" s="7">
        <v>650</v>
      </c>
      <c r="G9" s="35"/>
      <c r="H9" s="35"/>
      <c r="I9" s="29"/>
      <c r="J9" s="29"/>
      <c r="K9" s="29"/>
      <c r="L9" s="30" t="s">
        <v>148</v>
      </c>
      <c r="M9" s="31"/>
      <c r="N9" s="32"/>
      <c r="O9" s="35"/>
      <c r="P9" s="137" t="s">
        <v>35</v>
      </c>
      <c r="Q9" s="139"/>
      <c r="R9" s="152"/>
      <c r="S9" s="141">
        <v>8</v>
      </c>
      <c r="T9" s="140">
        <v>52</v>
      </c>
      <c r="U9" s="141">
        <v>5</v>
      </c>
      <c r="V9" s="141">
        <v>3</v>
      </c>
      <c r="W9" s="153"/>
      <c r="X9" s="37"/>
      <c r="Y9" s="154"/>
      <c r="Z9" s="37"/>
      <c r="AA9" s="37"/>
      <c r="AB9" s="37"/>
      <c r="AC9" s="29"/>
      <c r="AD9" s="136"/>
      <c r="AE9" s="136"/>
      <c r="AF9" s="3"/>
    </row>
    <row r="10" spans="1:34" ht="15.6" x14ac:dyDescent="0.3">
      <c r="A10" s="37"/>
      <c r="B10" s="29"/>
      <c r="C10" s="29"/>
      <c r="D10" s="29"/>
      <c r="E10" s="35"/>
      <c r="F10" s="35"/>
      <c r="G10" s="35"/>
      <c r="H10" s="78"/>
      <c r="I10" s="80"/>
      <c r="J10" s="40"/>
      <c r="K10" s="35"/>
      <c r="L10" s="41" t="s">
        <v>123</v>
      </c>
      <c r="M10" s="29"/>
      <c r="N10" s="29"/>
      <c r="O10" s="35"/>
      <c r="P10" s="143" t="s">
        <v>37</v>
      </c>
      <c r="Q10" s="139">
        <f>E8+D8</f>
        <v>43</v>
      </c>
      <c r="R10" s="139"/>
      <c r="S10" s="141">
        <f>S9*Q10</f>
        <v>344</v>
      </c>
      <c r="T10" s="140">
        <f>T9*Q10</f>
        <v>2236</v>
      </c>
      <c r="U10" s="141">
        <f>U9*Q10</f>
        <v>215</v>
      </c>
      <c r="V10" s="141">
        <f>V9*Q10</f>
        <v>129</v>
      </c>
      <c r="W10" s="155"/>
      <c r="X10" s="37"/>
      <c r="Y10" s="154"/>
      <c r="Z10" s="37"/>
      <c r="AA10" s="37"/>
      <c r="AB10" s="37"/>
      <c r="AC10" s="29"/>
      <c r="AD10" s="136"/>
      <c r="AE10" s="136"/>
      <c r="AF10" s="3"/>
    </row>
    <row r="11" spans="1:34" ht="15.6" thickBot="1" x14ac:dyDescent="0.3">
      <c r="A11" s="29"/>
      <c r="B11" s="64" t="s">
        <v>66</v>
      </c>
      <c r="C11" s="71" t="s">
        <v>64</v>
      </c>
      <c r="D11" s="71" t="s">
        <v>65</v>
      </c>
      <c r="E11" s="51" t="s">
        <v>2</v>
      </c>
      <c r="F11" s="76" t="s">
        <v>146</v>
      </c>
      <c r="G11" s="77"/>
      <c r="H11" s="77"/>
      <c r="I11" s="40"/>
      <c r="J11" s="40"/>
      <c r="K11" s="40"/>
      <c r="L11" s="40"/>
      <c r="M11" s="40"/>
      <c r="N11" s="81"/>
      <c r="O11" s="72"/>
      <c r="P11" s="137" t="s">
        <v>38</v>
      </c>
      <c r="Q11" s="139"/>
      <c r="R11" s="139">
        <f>IF(E8+F8=0,B9,(E8*E9+F8*F9)/(E8+F8))</f>
        <v>622</v>
      </c>
      <c r="S11" s="141">
        <f>0.04*R11-1</f>
        <v>23.88</v>
      </c>
      <c r="T11" s="140">
        <f>0.238*R11+23.6</f>
        <v>171.636</v>
      </c>
      <c r="U11" s="141">
        <f>0.03*R11</f>
        <v>18.66</v>
      </c>
      <c r="V11" s="141">
        <f>0.02*R11+1</f>
        <v>13.44</v>
      </c>
      <c r="W11" s="156">
        <f>R29*80</f>
        <v>67.2</v>
      </c>
      <c r="X11" s="37"/>
      <c r="Y11" s="154"/>
      <c r="Z11" s="37"/>
      <c r="AA11" s="37"/>
      <c r="AB11" s="37"/>
      <c r="AC11" s="29"/>
      <c r="AD11" s="136"/>
      <c r="AE11" s="136"/>
      <c r="AF11" s="3"/>
    </row>
    <row r="12" spans="1:34" ht="16.2" thickBot="1" x14ac:dyDescent="0.35">
      <c r="A12" s="61" t="s">
        <v>55</v>
      </c>
      <c r="B12" s="12">
        <v>2500</v>
      </c>
      <c r="C12" s="13">
        <v>4.4000000000000004</v>
      </c>
      <c r="D12" s="14">
        <v>3.34</v>
      </c>
      <c r="E12" s="73">
        <f>((383*C12+242*D12+783.2)/3140)*B12</f>
        <v>2608.8216560509559</v>
      </c>
      <c r="F12" s="15">
        <v>3.5</v>
      </c>
      <c r="G12" s="46"/>
      <c r="H12" s="79"/>
      <c r="I12" s="82"/>
      <c r="J12" s="40"/>
      <c r="K12" s="40"/>
      <c r="L12" s="40"/>
      <c r="M12" s="40"/>
      <c r="N12" s="78"/>
      <c r="O12" s="72"/>
      <c r="P12" s="143" t="s">
        <v>39</v>
      </c>
      <c r="Q12" s="139">
        <f>E8+F8</f>
        <v>20</v>
      </c>
      <c r="R12" s="139"/>
      <c r="S12" s="141">
        <f>S11*$Q12</f>
        <v>477.59999999999997</v>
      </c>
      <c r="T12" s="141">
        <f>T11*$Q12</f>
        <v>3432.72</v>
      </c>
      <c r="U12" s="144">
        <f>U11*Q12</f>
        <v>373.2</v>
      </c>
      <c r="V12" s="141">
        <f>V11*Q12</f>
        <v>268.8</v>
      </c>
      <c r="W12" s="140">
        <f>W11*Q12</f>
        <v>1344</v>
      </c>
      <c r="X12" s="37"/>
      <c r="Y12" s="154"/>
      <c r="Z12" s="37"/>
      <c r="AA12" s="37"/>
      <c r="AB12" s="37"/>
      <c r="AC12" s="29"/>
      <c r="AD12" s="136"/>
      <c r="AE12" s="136"/>
      <c r="AF12" s="3"/>
    </row>
    <row r="13" spans="1:34" x14ac:dyDescent="0.25">
      <c r="A13" s="37" t="s">
        <v>100</v>
      </c>
      <c r="B13" s="65">
        <f>B12/B8</f>
        <v>25</v>
      </c>
      <c r="C13" s="69">
        <f>C12</f>
        <v>4.4000000000000004</v>
      </c>
      <c r="D13" s="65">
        <f>D12</f>
        <v>3.34</v>
      </c>
      <c r="E13" s="74">
        <f>((383*C13+242*D13+783.2)/3140)*B13</f>
        <v>26.088216560509558</v>
      </c>
      <c r="F13" s="37"/>
      <c r="G13" s="37"/>
      <c r="H13" s="72"/>
      <c r="I13" s="83"/>
      <c r="J13" s="84"/>
      <c r="K13" s="84"/>
      <c r="L13" s="84"/>
      <c r="M13" s="84"/>
      <c r="N13" s="46"/>
      <c r="O13" s="72"/>
      <c r="P13" s="137" t="s">
        <v>40</v>
      </c>
      <c r="Q13" s="139"/>
      <c r="R13" s="139"/>
      <c r="S13" s="157">
        <f>S5+S8+S10+S12</f>
        <v>21009.577128806508</v>
      </c>
      <c r="T13" s="157">
        <f>T5+T8+T10+T12</f>
        <v>157455.90022941091</v>
      </c>
      <c r="U13" s="157">
        <f>U12+U10+U8+U5+U6</f>
        <v>10463.336305732484</v>
      </c>
      <c r="V13" s="157">
        <f>V12+V10+V8+V5+V6</f>
        <v>6466.7146496815294</v>
      </c>
      <c r="W13" s="158">
        <f>W12+W8</f>
        <v>2688</v>
      </c>
      <c r="X13" s="37"/>
      <c r="Y13" s="42"/>
      <c r="Z13" s="37"/>
      <c r="AA13" s="37"/>
      <c r="AB13" s="37"/>
      <c r="AC13" s="29"/>
      <c r="AD13" s="136"/>
      <c r="AE13" s="136"/>
      <c r="AF13" s="3"/>
    </row>
    <row r="14" spans="1:34" ht="15.6" x14ac:dyDescent="0.3">
      <c r="A14" s="61" t="s">
        <v>56</v>
      </c>
      <c r="B14" s="66">
        <f>B12/(C8+D8)</f>
        <v>31.25</v>
      </c>
      <c r="C14" s="70">
        <f>C12</f>
        <v>4.4000000000000004</v>
      </c>
      <c r="D14" s="65">
        <f>D12</f>
        <v>3.34</v>
      </c>
      <c r="E14" s="75">
        <f>((383*C14+242*D14+783.2)/3140)*B14</f>
        <v>32.610270700636946</v>
      </c>
      <c r="F14" s="37"/>
      <c r="G14" s="37"/>
      <c r="H14" s="72"/>
      <c r="I14" s="85"/>
      <c r="J14" s="79"/>
      <c r="K14" s="79"/>
      <c r="L14" s="86"/>
      <c r="M14" s="86"/>
      <c r="N14" s="87"/>
      <c r="O14" s="72"/>
      <c r="P14" s="37"/>
      <c r="Q14" s="159"/>
      <c r="R14" s="159"/>
      <c r="S14" s="159"/>
      <c r="T14" s="159"/>
      <c r="U14" s="159"/>
      <c r="V14" s="159"/>
      <c r="W14" s="37"/>
      <c r="X14" s="37"/>
      <c r="Y14" s="154"/>
      <c r="Z14" s="37"/>
      <c r="AA14" s="37"/>
      <c r="AB14" s="37"/>
      <c r="AC14" s="29"/>
      <c r="AD14" s="136"/>
      <c r="AE14" s="136"/>
      <c r="AF14" s="3"/>
    </row>
    <row r="15" spans="1:34" ht="17.399999999999999" x14ac:dyDescent="0.3">
      <c r="A15" s="37"/>
      <c r="B15" s="37"/>
      <c r="C15" s="37"/>
      <c r="D15" s="37"/>
      <c r="E15" s="37"/>
      <c r="F15" s="37"/>
      <c r="G15" s="37"/>
      <c r="H15" s="72"/>
      <c r="I15" s="88"/>
      <c r="J15" s="89"/>
      <c r="K15" s="72"/>
      <c r="L15" s="72"/>
      <c r="M15" s="72"/>
      <c r="N15" s="72"/>
      <c r="O15" s="72"/>
      <c r="P15" s="160" t="s">
        <v>92</v>
      </c>
      <c r="Q15" s="72"/>
      <c r="R15" s="7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29"/>
      <c r="AD15" s="136"/>
      <c r="AE15" s="136"/>
      <c r="AF15" s="3"/>
    </row>
    <row r="16" spans="1:34" x14ac:dyDescent="0.25">
      <c r="A16" s="37"/>
      <c r="B16" s="67" t="s">
        <v>78</v>
      </c>
      <c r="C16" s="37"/>
      <c r="D16" s="72" t="s">
        <v>121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145" t="s">
        <v>118</v>
      </c>
      <c r="Q16" s="29"/>
      <c r="R16" s="161" t="s">
        <v>93</v>
      </c>
      <c r="S16" s="72"/>
      <c r="T16" s="72"/>
      <c r="U16" s="72"/>
      <c r="V16" s="37"/>
      <c r="W16" s="37"/>
      <c r="X16" s="37"/>
      <c r="Y16" s="37"/>
      <c r="Z16" s="37"/>
      <c r="AA16" s="37"/>
      <c r="AB16" s="37"/>
      <c r="AC16" s="37"/>
      <c r="AD16" s="37"/>
      <c r="AE16" s="29"/>
      <c r="AF16" s="3"/>
      <c r="AG16" s="3"/>
      <c r="AH16" s="3"/>
    </row>
    <row r="17" spans="1:37" x14ac:dyDescent="0.25">
      <c r="A17" s="62" t="s">
        <v>3</v>
      </c>
      <c r="B17" s="68" t="s">
        <v>14</v>
      </c>
      <c r="C17" s="68" t="s">
        <v>0</v>
      </c>
      <c r="D17" s="68" t="s">
        <v>20</v>
      </c>
      <c r="E17" s="68" t="s">
        <v>189</v>
      </c>
      <c r="F17" s="68" t="s">
        <v>190</v>
      </c>
      <c r="G17" s="68" t="s">
        <v>191</v>
      </c>
      <c r="H17" s="68" t="s">
        <v>57</v>
      </c>
      <c r="I17" s="68" t="s">
        <v>58</v>
      </c>
      <c r="J17" s="68" t="s">
        <v>4</v>
      </c>
      <c r="K17" s="68" t="s">
        <v>5</v>
      </c>
      <c r="L17" s="68" t="s">
        <v>34</v>
      </c>
      <c r="M17" s="90" t="s">
        <v>77</v>
      </c>
      <c r="N17" s="90" t="s">
        <v>127</v>
      </c>
      <c r="O17" s="90" t="s">
        <v>98</v>
      </c>
      <c r="P17" s="162" t="s">
        <v>119</v>
      </c>
      <c r="Q17" s="163" t="s">
        <v>120</v>
      </c>
      <c r="R17" s="164" t="s">
        <v>184</v>
      </c>
      <c r="S17" s="68" t="s">
        <v>41</v>
      </c>
      <c r="T17" s="68" t="s">
        <v>196</v>
      </c>
      <c r="U17" s="68" t="s">
        <v>197</v>
      </c>
      <c r="V17" s="68" t="s">
        <v>198</v>
      </c>
      <c r="W17" s="68" t="s">
        <v>185</v>
      </c>
      <c r="X17" s="68" t="s">
        <v>186</v>
      </c>
      <c r="Y17" s="68" t="s">
        <v>187</v>
      </c>
      <c r="Z17" s="68" t="s">
        <v>188</v>
      </c>
      <c r="AA17" s="165" t="s">
        <v>142</v>
      </c>
      <c r="AB17" s="126" t="s">
        <v>71</v>
      </c>
      <c r="AC17" s="162" t="s">
        <v>143</v>
      </c>
      <c r="AD17" s="37" t="s">
        <v>169</v>
      </c>
      <c r="AE17" s="37"/>
      <c r="AF17" s="5"/>
      <c r="AG17" s="5"/>
      <c r="AI17" s="3"/>
      <c r="AJ17" s="3"/>
      <c r="AK17" s="3"/>
    </row>
    <row r="18" spans="1:37" ht="17.399999999999999" x14ac:dyDescent="0.3">
      <c r="A18" s="16" t="s">
        <v>163</v>
      </c>
      <c r="B18" s="1">
        <v>0</v>
      </c>
      <c r="C18" s="17">
        <v>1</v>
      </c>
      <c r="D18" s="18">
        <v>1</v>
      </c>
      <c r="E18" s="211">
        <v>11</v>
      </c>
      <c r="F18" s="212">
        <v>71</v>
      </c>
      <c r="G18" s="212">
        <v>43</v>
      </c>
      <c r="H18" s="212">
        <v>166</v>
      </c>
      <c r="I18" s="212">
        <v>526</v>
      </c>
      <c r="J18" s="211">
        <v>6.2</v>
      </c>
      <c r="K18" s="14">
        <v>2.7</v>
      </c>
      <c r="L18" s="19">
        <v>120</v>
      </c>
      <c r="M18" s="13">
        <v>15</v>
      </c>
      <c r="N18" s="20">
        <v>0</v>
      </c>
      <c r="O18" s="20">
        <v>0</v>
      </c>
      <c r="P18" s="12">
        <v>1</v>
      </c>
      <c r="Q18" s="166">
        <f t="shared" ref="Q18:Q28" si="0">P18*B18/$P$29*($B$30+$B$31)</f>
        <v>0</v>
      </c>
      <c r="R18" s="167">
        <f t="shared" ref="R18:R28" si="1">(B18-Q18)*C18</f>
        <v>0</v>
      </c>
      <c r="S18" s="167">
        <f t="shared" ref="S18:S28" si="2">R18*D18</f>
        <v>0</v>
      </c>
      <c r="T18" s="167">
        <f t="shared" ref="T18:T28" si="3">E18*R18</f>
        <v>0</v>
      </c>
      <c r="U18" s="167">
        <f t="shared" ref="U18:Z20" si="4">$R18*F18</f>
        <v>0</v>
      </c>
      <c r="V18" s="167">
        <f t="shared" si="4"/>
        <v>0</v>
      </c>
      <c r="W18" s="167">
        <f t="shared" si="4"/>
        <v>0</v>
      </c>
      <c r="X18" s="167">
        <f t="shared" si="4"/>
        <v>0</v>
      </c>
      <c r="Y18" s="167">
        <f t="shared" si="4"/>
        <v>0</v>
      </c>
      <c r="Z18" s="167">
        <f t="shared" si="4"/>
        <v>0</v>
      </c>
      <c r="AA18" s="168">
        <f t="shared" ref="AA18:AA28" si="5">L18*B18/100</f>
        <v>0</v>
      </c>
      <c r="AB18" s="168">
        <f t="shared" ref="AB18:AB28" si="6">R18*M18</f>
        <v>0</v>
      </c>
      <c r="AC18" s="168">
        <f t="shared" ref="AC18:AC28" si="7">N18*W18</f>
        <v>0</v>
      </c>
      <c r="AD18" s="169">
        <f t="shared" ref="AD18:AD28" si="8">O18*R18</f>
        <v>0</v>
      </c>
      <c r="AE18" s="37"/>
      <c r="AF18" s="5"/>
      <c r="AG18" s="5"/>
      <c r="AI18" s="3"/>
      <c r="AJ18" s="3"/>
      <c r="AK18" s="3"/>
    </row>
    <row r="19" spans="1:37" ht="17.399999999999999" x14ac:dyDescent="0.3">
      <c r="A19" s="16" t="s">
        <v>180</v>
      </c>
      <c r="B19" s="1">
        <v>0</v>
      </c>
      <c r="C19" s="17">
        <v>0.85</v>
      </c>
      <c r="D19" s="18">
        <v>1</v>
      </c>
      <c r="E19" s="211">
        <v>6.6</v>
      </c>
      <c r="F19" s="212">
        <v>45</v>
      </c>
      <c r="G19" s="212">
        <v>-60</v>
      </c>
      <c r="H19" s="212">
        <v>69</v>
      </c>
      <c r="I19" s="212">
        <v>748</v>
      </c>
      <c r="J19" s="211">
        <v>7.5</v>
      </c>
      <c r="K19" s="14">
        <v>2.2999999999999998</v>
      </c>
      <c r="L19" s="19">
        <v>90</v>
      </c>
      <c r="M19" s="13">
        <v>0</v>
      </c>
      <c r="N19" s="21">
        <v>0</v>
      </c>
      <c r="O19" s="21">
        <v>0</v>
      </c>
      <c r="P19" s="12">
        <v>1</v>
      </c>
      <c r="Q19" s="166">
        <f t="shared" si="0"/>
        <v>0</v>
      </c>
      <c r="R19" s="167">
        <f t="shared" si="1"/>
        <v>0</v>
      </c>
      <c r="S19" s="167">
        <f t="shared" si="2"/>
        <v>0</v>
      </c>
      <c r="T19" s="167">
        <f t="shared" si="3"/>
        <v>0</v>
      </c>
      <c r="U19" s="167">
        <f t="shared" si="4"/>
        <v>0</v>
      </c>
      <c r="V19" s="167">
        <f t="shared" si="4"/>
        <v>0</v>
      </c>
      <c r="W19" s="167">
        <f t="shared" si="4"/>
        <v>0</v>
      </c>
      <c r="X19" s="167">
        <f t="shared" si="4"/>
        <v>0</v>
      </c>
      <c r="Y19" s="167">
        <f t="shared" si="4"/>
        <v>0</v>
      </c>
      <c r="Z19" s="167">
        <f t="shared" si="4"/>
        <v>0</v>
      </c>
      <c r="AA19" s="168">
        <f t="shared" si="5"/>
        <v>0</v>
      </c>
      <c r="AB19" s="168">
        <f t="shared" si="6"/>
        <v>0</v>
      </c>
      <c r="AC19" s="168">
        <f t="shared" si="7"/>
        <v>0</v>
      </c>
      <c r="AD19" s="169">
        <f t="shared" si="8"/>
        <v>0</v>
      </c>
      <c r="AE19" s="37"/>
      <c r="AF19" s="5"/>
      <c r="AG19" s="5"/>
      <c r="AI19" s="3"/>
      <c r="AJ19" s="3"/>
      <c r="AK19" s="3"/>
    </row>
    <row r="20" spans="1:37" s="3" customFormat="1" ht="17.399999999999999" x14ac:dyDescent="0.3">
      <c r="A20" s="16" t="s">
        <v>181</v>
      </c>
      <c r="B20" s="1">
        <v>1</v>
      </c>
      <c r="C20" s="17">
        <v>0.84</v>
      </c>
      <c r="D20" s="18">
        <v>1</v>
      </c>
      <c r="E20" s="211">
        <v>10</v>
      </c>
      <c r="F20" s="212">
        <v>69</v>
      </c>
      <c r="G20" s="212">
        <v>-10</v>
      </c>
      <c r="H20" s="212">
        <v>90</v>
      </c>
      <c r="I20" s="13">
        <v>650</v>
      </c>
      <c r="J20" s="14">
        <v>5</v>
      </c>
      <c r="K20" s="14">
        <v>3.6</v>
      </c>
      <c r="L20" s="213">
        <v>140</v>
      </c>
      <c r="M20" s="13">
        <v>0</v>
      </c>
      <c r="N20" s="21">
        <v>0</v>
      </c>
      <c r="O20" s="21">
        <v>0</v>
      </c>
      <c r="P20" s="12">
        <v>1</v>
      </c>
      <c r="Q20" s="166">
        <f t="shared" si="0"/>
        <v>0</v>
      </c>
      <c r="R20" s="167">
        <f t="shared" si="1"/>
        <v>0.84</v>
      </c>
      <c r="S20" s="167">
        <f t="shared" si="2"/>
        <v>0.84</v>
      </c>
      <c r="T20" s="167">
        <f t="shared" si="3"/>
        <v>8.4</v>
      </c>
      <c r="U20" s="167">
        <f t="shared" si="4"/>
        <v>57.96</v>
      </c>
      <c r="V20" s="167">
        <f t="shared" si="4"/>
        <v>-8.4</v>
      </c>
      <c r="W20" s="167">
        <f t="shared" si="4"/>
        <v>75.599999999999994</v>
      </c>
      <c r="X20" s="167">
        <f t="shared" si="4"/>
        <v>546</v>
      </c>
      <c r="Y20" s="167">
        <f t="shared" si="4"/>
        <v>4.2</v>
      </c>
      <c r="Z20" s="167">
        <f t="shared" si="4"/>
        <v>3.024</v>
      </c>
      <c r="AA20" s="168">
        <f t="shared" si="5"/>
        <v>1.4</v>
      </c>
      <c r="AB20" s="168">
        <f t="shared" si="6"/>
        <v>0</v>
      </c>
      <c r="AC20" s="168">
        <f t="shared" si="7"/>
        <v>0</v>
      </c>
      <c r="AD20" s="169">
        <f t="shared" si="8"/>
        <v>0</v>
      </c>
      <c r="AE20" s="136"/>
    </row>
    <row r="21" spans="1:37" ht="17.399999999999999" x14ac:dyDescent="0.3">
      <c r="A21" s="16" t="s">
        <v>194</v>
      </c>
      <c r="B21" s="1">
        <v>0</v>
      </c>
      <c r="C21" s="17">
        <v>1</v>
      </c>
      <c r="D21" s="18">
        <v>1</v>
      </c>
      <c r="E21" s="211">
        <v>10.4</v>
      </c>
      <c r="F21" s="212">
        <v>76</v>
      </c>
      <c r="G21" s="212">
        <v>-40</v>
      </c>
      <c r="H21" s="13">
        <v>99</v>
      </c>
      <c r="I21" s="13">
        <v>617</v>
      </c>
      <c r="J21" s="14">
        <v>6.5</v>
      </c>
      <c r="K21" s="14">
        <v>2.2999999999999998</v>
      </c>
      <c r="L21" s="213">
        <v>120</v>
      </c>
      <c r="M21" s="13">
        <v>0</v>
      </c>
      <c r="N21" s="21">
        <v>0</v>
      </c>
      <c r="O21" s="21">
        <v>0</v>
      </c>
      <c r="P21" s="12">
        <v>1</v>
      </c>
      <c r="Q21" s="166">
        <f t="shared" si="0"/>
        <v>0</v>
      </c>
      <c r="R21" s="167">
        <f t="shared" si="1"/>
        <v>0</v>
      </c>
      <c r="S21" s="167">
        <f t="shared" si="2"/>
        <v>0</v>
      </c>
      <c r="T21" s="167">
        <f t="shared" si="3"/>
        <v>0</v>
      </c>
      <c r="U21" s="167">
        <f t="shared" ref="U21:Z21" si="9">$R21*F21</f>
        <v>0</v>
      </c>
      <c r="V21" s="167">
        <f t="shared" si="9"/>
        <v>0</v>
      </c>
      <c r="W21" s="167">
        <f t="shared" si="9"/>
        <v>0</v>
      </c>
      <c r="X21" s="167">
        <f t="shared" si="9"/>
        <v>0</v>
      </c>
      <c r="Y21" s="167">
        <f t="shared" si="9"/>
        <v>0</v>
      </c>
      <c r="Z21" s="167">
        <f t="shared" si="9"/>
        <v>0</v>
      </c>
      <c r="AA21" s="168">
        <f t="shared" si="5"/>
        <v>0</v>
      </c>
      <c r="AB21" s="168">
        <f t="shared" si="6"/>
        <v>0</v>
      </c>
      <c r="AC21" s="168">
        <f t="shared" si="7"/>
        <v>0</v>
      </c>
      <c r="AD21" s="169">
        <f t="shared" si="8"/>
        <v>0</v>
      </c>
      <c r="AE21" s="136"/>
      <c r="AF21" s="3"/>
      <c r="AG21" s="3"/>
      <c r="AH21" s="3"/>
      <c r="AI21" s="3"/>
      <c r="AJ21" s="3"/>
      <c r="AK21" s="3"/>
    </row>
    <row r="22" spans="1:37" s="3" customFormat="1" ht="17.399999999999999" x14ac:dyDescent="0.3">
      <c r="A22" s="16" t="s">
        <v>53</v>
      </c>
      <c r="B22" s="1">
        <v>0</v>
      </c>
      <c r="C22" s="17">
        <v>1</v>
      </c>
      <c r="D22" s="18">
        <v>1</v>
      </c>
      <c r="E22" s="211">
        <v>12.8</v>
      </c>
      <c r="F22" s="212">
        <v>100</v>
      </c>
      <c r="G22" s="212">
        <v>-68</v>
      </c>
      <c r="H22" s="13">
        <v>90</v>
      </c>
      <c r="I22" s="13">
        <v>300</v>
      </c>
      <c r="J22" s="14">
        <v>8.8000000000000007</v>
      </c>
      <c r="K22" s="14">
        <v>0.8</v>
      </c>
      <c r="L22" s="213">
        <v>200</v>
      </c>
      <c r="M22" s="13">
        <v>0</v>
      </c>
      <c r="N22" s="21">
        <v>1</v>
      </c>
      <c r="O22" s="21">
        <v>0</v>
      </c>
      <c r="P22" s="12">
        <v>1</v>
      </c>
      <c r="Q22" s="166">
        <f t="shared" si="0"/>
        <v>0</v>
      </c>
      <c r="R22" s="167">
        <f t="shared" si="1"/>
        <v>0</v>
      </c>
      <c r="S22" s="167">
        <f t="shared" si="2"/>
        <v>0</v>
      </c>
      <c r="T22" s="167">
        <f t="shared" si="3"/>
        <v>0</v>
      </c>
      <c r="U22" s="167">
        <f t="shared" ref="U22:Z22" si="10">$R22*F22</f>
        <v>0</v>
      </c>
      <c r="V22" s="167">
        <f t="shared" si="10"/>
        <v>0</v>
      </c>
      <c r="W22" s="167">
        <f t="shared" si="10"/>
        <v>0</v>
      </c>
      <c r="X22" s="167">
        <f t="shared" si="10"/>
        <v>0</v>
      </c>
      <c r="Y22" s="167">
        <f t="shared" si="10"/>
        <v>0</v>
      </c>
      <c r="Z22" s="167">
        <f t="shared" si="10"/>
        <v>0</v>
      </c>
      <c r="AA22" s="168">
        <f t="shared" si="5"/>
        <v>0</v>
      </c>
      <c r="AB22" s="168">
        <f t="shared" si="6"/>
        <v>0</v>
      </c>
      <c r="AC22" s="168">
        <f t="shared" si="7"/>
        <v>0</v>
      </c>
      <c r="AD22" s="169">
        <f t="shared" si="8"/>
        <v>0</v>
      </c>
      <c r="AE22" s="136"/>
    </row>
    <row r="23" spans="1:37" s="3" customFormat="1" ht="17.399999999999999" x14ac:dyDescent="0.3">
      <c r="A23" s="16" t="s">
        <v>193</v>
      </c>
      <c r="B23" s="1">
        <v>0</v>
      </c>
      <c r="C23" s="17">
        <v>0.87</v>
      </c>
      <c r="D23" s="18">
        <v>0</v>
      </c>
      <c r="E23" s="211">
        <v>13.9</v>
      </c>
      <c r="F23" s="212">
        <v>81</v>
      </c>
      <c r="G23" s="212">
        <v>140</v>
      </c>
      <c r="H23" s="13">
        <v>300</v>
      </c>
      <c r="I23" s="13">
        <v>219</v>
      </c>
      <c r="J23" s="211">
        <v>4</v>
      </c>
      <c r="K23" s="211">
        <v>4.8</v>
      </c>
      <c r="L23" s="213">
        <v>240</v>
      </c>
      <c r="M23" s="13">
        <v>0</v>
      </c>
      <c r="N23" s="21">
        <v>1</v>
      </c>
      <c r="O23" s="21">
        <v>0</v>
      </c>
      <c r="P23" s="12">
        <v>1</v>
      </c>
      <c r="Q23" s="166">
        <f t="shared" si="0"/>
        <v>0</v>
      </c>
      <c r="R23" s="167">
        <f t="shared" si="1"/>
        <v>0</v>
      </c>
      <c r="S23" s="167">
        <f t="shared" si="2"/>
        <v>0</v>
      </c>
      <c r="T23" s="167">
        <f t="shared" si="3"/>
        <v>0</v>
      </c>
      <c r="U23" s="167">
        <f t="shared" ref="U23:Z23" si="11">$R23*F23</f>
        <v>0</v>
      </c>
      <c r="V23" s="167">
        <f t="shared" si="11"/>
        <v>0</v>
      </c>
      <c r="W23" s="167">
        <f t="shared" si="11"/>
        <v>0</v>
      </c>
      <c r="X23" s="167">
        <f t="shared" si="11"/>
        <v>0</v>
      </c>
      <c r="Y23" s="167">
        <f t="shared" si="11"/>
        <v>0</v>
      </c>
      <c r="Z23" s="167">
        <f t="shared" si="11"/>
        <v>0</v>
      </c>
      <c r="AA23" s="168">
        <f t="shared" si="5"/>
        <v>0</v>
      </c>
      <c r="AB23" s="168">
        <f t="shared" si="6"/>
        <v>0</v>
      </c>
      <c r="AC23" s="168">
        <f t="shared" si="7"/>
        <v>0</v>
      </c>
      <c r="AD23" s="169">
        <f t="shared" si="8"/>
        <v>0</v>
      </c>
      <c r="AE23" s="136"/>
    </row>
    <row r="24" spans="1:37" s="3" customFormat="1" ht="17.399999999999999" x14ac:dyDescent="0.3">
      <c r="A24" s="16" t="s">
        <v>195</v>
      </c>
      <c r="B24" s="1">
        <v>0</v>
      </c>
      <c r="C24" s="17">
        <v>0.9</v>
      </c>
      <c r="D24" s="18">
        <v>0</v>
      </c>
      <c r="E24" s="14">
        <v>12.2</v>
      </c>
      <c r="F24" s="212">
        <v>22</v>
      </c>
      <c r="G24" s="212">
        <v>78</v>
      </c>
      <c r="H24" s="13">
        <v>384</v>
      </c>
      <c r="I24" s="13">
        <v>332</v>
      </c>
      <c r="J24" s="211">
        <v>8</v>
      </c>
      <c r="K24" s="211">
        <v>12</v>
      </c>
      <c r="L24" s="213">
        <v>460</v>
      </c>
      <c r="M24" s="13">
        <v>0</v>
      </c>
      <c r="N24" s="21">
        <v>1</v>
      </c>
      <c r="O24" s="21">
        <v>0</v>
      </c>
      <c r="P24" s="12">
        <v>1</v>
      </c>
      <c r="Q24" s="166">
        <f t="shared" si="0"/>
        <v>0</v>
      </c>
      <c r="R24" s="167">
        <f t="shared" si="1"/>
        <v>0</v>
      </c>
      <c r="S24" s="167">
        <f t="shared" si="2"/>
        <v>0</v>
      </c>
      <c r="T24" s="167">
        <f t="shared" si="3"/>
        <v>0</v>
      </c>
      <c r="U24" s="167">
        <f t="shared" ref="U24:Z24" si="12">$R24*F24</f>
        <v>0</v>
      </c>
      <c r="V24" s="167">
        <f t="shared" si="12"/>
        <v>0</v>
      </c>
      <c r="W24" s="167">
        <f t="shared" si="12"/>
        <v>0</v>
      </c>
      <c r="X24" s="167">
        <f t="shared" si="12"/>
        <v>0</v>
      </c>
      <c r="Y24" s="167">
        <f t="shared" si="12"/>
        <v>0</v>
      </c>
      <c r="Z24" s="167">
        <f t="shared" si="12"/>
        <v>0</v>
      </c>
      <c r="AA24" s="168">
        <f t="shared" si="5"/>
        <v>0</v>
      </c>
      <c r="AB24" s="168">
        <f t="shared" si="6"/>
        <v>0</v>
      </c>
      <c r="AC24" s="168">
        <f t="shared" si="7"/>
        <v>0</v>
      </c>
      <c r="AD24" s="169">
        <f t="shared" si="8"/>
        <v>0</v>
      </c>
      <c r="AE24" s="136"/>
    </row>
    <row r="25" spans="1:37" ht="17.399999999999999" x14ac:dyDescent="0.3">
      <c r="A25" s="16" t="s">
        <v>192</v>
      </c>
      <c r="B25" s="1">
        <v>0</v>
      </c>
      <c r="C25" s="22">
        <v>0.84</v>
      </c>
      <c r="D25" s="18">
        <v>0</v>
      </c>
      <c r="E25" s="14">
        <v>12.4</v>
      </c>
      <c r="F25" s="212">
        <v>78</v>
      </c>
      <c r="G25" s="212">
        <v>-16</v>
      </c>
      <c r="H25" s="13">
        <v>116</v>
      </c>
      <c r="I25" s="13">
        <v>277</v>
      </c>
      <c r="J25" s="211">
        <v>0.6</v>
      </c>
      <c r="K25" s="211">
        <v>4</v>
      </c>
      <c r="L25" s="213">
        <v>200</v>
      </c>
      <c r="M25" s="13">
        <v>0</v>
      </c>
      <c r="N25" s="21">
        <v>1</v>
      </c>
      <c r="O25" s="21">
        <v>0</v>
      </c>
      <c r="P25" s="12">
        <v>1</v>
      </c>
      <c r="Q25" s="170">
        <f t="shared" si="0"/>
        <v>0</v>
      </c>
      <c r="R25" s="171">
        <f t="shared" si="1"/>
        <v>0</v>
      </c>
      <c r="S25" s="167">
        <f t="shared" si="2"/>
        <v>0</v>
      </c>
      <c r="T25" s="167">
        <f t="shared" si="3"/>
        <v>0</v>
      </c>
      <c r="U25" s="167">
        <f t="shared" ref="U25:Z28" si="13">$R25*F25</f>
        <v>0</v>
      </c>
      <c r="V25" s="167">
        <f t="shared" si="13"/>
        <v>0</v>
      </c>
      <c r="W25" s="167">
        <f t="shared" si="13"/>
        <v>0</v>
      </c>
      <c r="X25" s="167">
        <f t="shared" si="13"/>
        <v>0</v>
      </c>
      <c r="Y25" s="167">
        <f t="shared" si="13"/>
        <v>0</v>
      </c>
      <c r="Z25" s="167">
        <f t="shared" si="13"/>
        <v>0</v>
      </c>
      <c r="AA25" s="168">
        <f t="shared" si="5"/>
        <v>0</v>
      </c>
      <c r="AB25" s="168">
        <f t="shared" si="6"/>
        <v>0</v>
      </c>
      <c r="AC25" s="168">
        <f t="shared" si="7"/>
        <v>0</v>
      </c>
      <c r="AD25" s="169">
        <f t="shared" si="8"/>
        <v>0</v>
      </c>
      <c r="AE25" s="136"/>
      <c r="AF25" s="3"/>
      <c r="AG25" s="3"/>
      <c r="AH25" s="3"/>
      <c r="AI25" s="3"/>
      <c r="AJ25" s="3"/>
      <c r="AK25" s="3"/>
    </row>
    <row r="26" spans="1:37" ht="17.399999999999999" x14ac:dyDescent="0.3">
      <c r="A26" s="16" t="s">
        <v>179</v>
      </c>
      <c r="B26" s="1">
        <v>0</v>
      </c>
      <c r="C26" s="22">
        <v>1</v>
      </c>
      <c r="D26" s="18">
        <v>1</v>
      </c>
      <c r="E26" s="211">
        <v>0</v>
      </c>
      <c r="F26" s="212">
        <v>0</v>
      </c>
      <c r="G26" s="212">
        <v>0</v>
      </c>
      <c r="H26" s="13">
        <v>0</v>
      </c>
      <c r="I26" s="13">
        <v>0</v>
      </c>
      <c r="J26" s="211">
        <v>159</v>
      </c>
      <c r="K26" s="211">
        <v>1</v>
      </c>
      <c r="L26" s="213">
        <v>830</v>
      </c>
      <c r="M26" s="13">
        <v>6500</v>
      </c>
      <c r="N26" s="21">
        <v>1</v>
      </c>
      <c r="O26" s="21">
        <v>0</v>
      </c>
      <c r="P26" s="12">
        <v>1</v>
      </c>
      <c r="Q26" s="166">
        <f t="shared" si="0"/>
        <v>0</v>
      </c>
      <c r="R26" s="167">
        <f t="shared" si="1"/>
        <v>0</v>
      </c>
      <c r="S26" s="167">
        <f t="shared" si="2"/>
        <v>0</v>
      </c>
      <c r="T26" s="167">
        <f t="shared" si="3"/>
        <v>0</v>
      </c>
      <c r="U26" s="167">
        <f t="shared" si="13"/>
        <v>0</v>
      </c>
      <c r="V26" s="167">
        <f t="shared" si="13"/>
        <v>0</v>
      </c>
      <c r="W26" s="167">
        <f t="shared" si="13"/>
        <v>0</v>
      </c>
      <c r="X26" s="167">
        <f t="shared" si="13"/>
        <v>0</v>
      </c>
      <c r="Y26" s="167">
        <f t="shared" si="13"/>
        <v>0</v>
      </c>
      <c r="Z26" s="167">
        <f t="shared" si="13"/>
        <v>0</v>
      </c>
      <c r="AA26" s="168">
        <f t="shared" si="5"/>
        <v>0</v>
      </c>
      <c r="AB26" s="168">
        <f t="shared" si="6"/>
        <v>0</v>
      </c>
      <c r="AC26" s="168">
        <f t="shared" si="7"/>
        <v>0</v>
      </c>
      <c r="AD26" s="169">
        <f t="shared" si="8"/>
        <v>0</v>
      </c>
      <c r="AE26" s="136"/>
      <c r="AF26" s="3"/>
      <c r="AG26" s="3"/>
      <c r="AH26" s="3"/>
      <c r="AI26" s="3"/>
      <c r="AJ26" s="3"/>
      <c r="AK26" s="3"/>
    </row>
    <row r="27" spans="1:37" ht="17.399999999999999" x14ac:dyDescent="0.3">
      <c r="A27" s="16" t="s">
        <v>177</v>
      </c>
      <c r="B27" s="1">
        <v>0</v>
      </c>
      <c r="C27" s="17"/>
      <c r="D27" s="18"/>
      <c r="E27" s="14"/>
      <c r="F27" s="13"/>
      <c r="G27" s="13"/>
      <c r="H27" s="13"/>
      <c r="I27" s="13"/>
      <c r="J27" s="14"/>
      <c r="K27" s="14"/>
      <c r="L27" s="19"/>
      <c r="M27" s="13"/>
      <c r="N27" s="21"/>
      <c r="O27" s="21">
        <v>0</v>
      </c>
      <c r="P27" s="12">
        <v>1</v>
      </c>
      <c r="Q27" s="166">
        <f t="shared" si="0"/>
        <v>0</v>
      </c>
      <c r="R27" s="167">
        <f t="shared" si="1"/>
        <v>0</v>
      </c>
      <c r="S27" s="167">
        <f t="shared" si="2"/>
        <v>0</v>
      </c>
      <c r="T27" s="167">
        <f t="shared" si="3"/>
        <v>0</v>
      </c>
      <c r="U27" s="167">
        <f t="shared" si="13"/>
        <v>0</v>
      </c>
      <c r="V27" s="167">
        <f t="shared" si="13"/>
        <v>0</v>
      </c>
      <c r="W27" s="167">
        <f t="shared" si="13"/>
        <v>0</v>
      </c>
      <c r="X27" s="167">
        <f t="shared" si="13"/>
        <v>0</v>
      </c>
      <c r="Y27" s="167">
        <f t="shared" si="13"/>
        <v>0</v>
      </c>
      <c r="Z27" s="167">
        <f t="shared" si="13"/>
        <v>0</v>
      </c>
      <c r="AA27" s="168">
        <f t="shared" si="5"/>
        <v>0</v>
      </c>
      <c r="AB27" s="168">
        <f t="shared" si="6"/>
        <v>0</v>
      </c>
      <c r="AC27" s="168">
        <f t="shared" si="7"/>
        <v>0</v>
      </c>
      <c r="AD27" s="169">
        <f t="shared" si="8"/>
        <v>0</v>
      </c>
      <c r="AE27" s="136"/>
      <c r="AF27" s="3"/>
      <c r="AG27" s="3"/>
      <c r="AH27" s="3"/>
      <c r="AI27" s="3"/>
      <c r="AJ27" s="3"/>
      <c r="AK27" s="3"/>
    </row>
    <row r="28" spans="1:37" ht="17.399999999999999" x14ac:dyDescent="0.3">
      <c r="A28" s="16" t="s">
        <v>178</v>
      </c>
      <c r="B28" s="1">
        <v>0</v>
      </c>
      <c r="C28" s="17"/>
      <c r="D28" s="18"/>
      <c r="E28" s="14"/>
      <c r="F28" s="13"/>
      <c r="G28" s="13"/>
      <c r="H28" s="13"/>
      <c r="I28" s="13"/>
      <c r="J28" s="14"/>
      <c r="K28" s="14"/>
      <c r="L28" s="19"/>
      <c r="M28" s="13"/>
      <c r="N28" s="21"/>
      <c r="O28" s="21">
        <v>0</v>
      </c>
      <c r="P28" s="12">
        <v>1</v>
      </c>
      <c r="Q28" s="166">
        <f t="shared" si="0"/>
        <v>0</v>
      </c>
      <c r="R28" s="167">
        <f t="shared" si="1"/>
        <v>0</v>
      </c>
      <c r="S28" s="167">
        <f t="shared" si="2"/>
        <v>0</v>
      </c>
      <c r="T28" s="167">
        <f t="shared" si="3"/>
        <v>0</v>
      </c>
      <c r="U28" s="167">
        <f t="shared" si="13"/>
        <v>0</v>
      </c>
      <c r="V28" s="167">
        <f t="shared" si="13"/>
        <v>0</v>
      </c>
      <c r="W28" s="167">
        <f t="shared" si="13"/>
        <v>0</v>
      </c>
      <c r="X28" s="167">
        <f t="shared" si="13"/>
        <v>0</v>
      </c>
      <c r="Y28" s="167">
        <f t="shared" si="13"/>
        <v>0</v>
      </c>
      <c r="Z28" s="167">
        <f t="shared" si="13"/>
        <v>0</v>
      </c>
      <c r="AA28" s="168">
        <f t="shared" si="5"/>
        <v>0</v>
      </c>
      <c r="AB28" s="168">
        <f t="shared" si="6"/>
        <v>0</v>
      </c>
      <c r="AC28" s="168">
        <f t="shared" si="7"/>
        <v>0</v>
      </c>
      <c r="AD28" s="169">
        <f t="shared" si="8"/>
        <v>0</v>
      </c>
      <c r="AE28" s="136"/>
      <c r="AF28" s="3"/>
      <c r="AG28" s="3"/>
      <c r="AH28" s="3"/>
      <c r="AI28" s="3"/>
      <c r="AJ28" s="3"/>
      <c r="AK28" s="3"/>
    </row>
    <row r="29" spans="1:37" ht="18" thickBot="1" x14ac:dyDescent="0.35">
      <c r="A29" s="25" t="s">
        <v>122</v>
      </c>
      <c r="B29" s="187">
        <f>SUM(B18:B27)</f>
        <v>1</v>
      </c>
      <c r="C29" s="13"/>
      <c r="D29" s="18"/>
      <c r="E29" s="14"/>
      <c r="F29" s="13"/>
      <c r="G29" s="20"/>
      <c r="H29" s="20"/>
      <c r="I29" s="20"/>
      <c r="J29" s="14"/>
      <c r="K29" s="14"/>
      <c r="L29" s="23"/>
      <c r="M29" s="26"/>
      <c r="N29" s="26"/>
      <c r="O29" s="26"/>
      <c r="P29" s="180">
        <f>SUMPRODUCT(B18:B28,P18:P28)+0.000001</f>
        <v>1.0000009999999999</v>
      </c>
      <c r="Q29" s="173">
        <f>SUM(Q18:Q27)</f>
        <v>0</v>
      </c>
      <c r="R29" s="174">
        <f t="shared" ref="R29:AD29" si="14">SUM(R18:R28)</f>
        <v>0.84</v>
      </c>
      <c r="S29" s="174">
        <f t="shared" si="14"/>
        <v>0.84</v>
      </c>
      <c r="T29" s="174">
        <f t="shared" si="14"/>
        <v>8.4</v>
      </c>
      <c r="U29" s="174">
        <f t="shared" si="14"/>
        <v>57.96</v>
      </c>
      <c r="V29" s="174">
        <f t="shared" si="14"/>
        <v>-8.4</v>
      </c>
      <c r="W29" s="174">
        <f t="shared" si="14"/>
        <v>75.599999999999994</v>
      </c>
      <c r="X29" s="174">
        <f t="shared" si="14"/>
        <v>546</v>
      </c>
      <c r="Y29" s="174">
        <f t="shared" si="14"/>
        <v>4.2</v>
      </c>
      <c r="Z29" s="174">
        <f t="shared" si="14"/>
        <v>3.024</v>
      </c>
      <c r="AA29" s="175">
        <f t="shared" si="14"/>
        <v>1.4</v>
      </c>
      <c r="AB29" s="174">
        <f t="shared" si="14"/>
        <v>0</v>
      </c>
      <c r="AC29" s="176">
        <f t="shared" si="14"/>
        <v>0</v>
      </c>
      <c r="AD29" s="176">
        <f t="shared" si="14"/>
        <v>0</v>
      </c>
      <c r="AE29" s="172"/>
      <c r="AF29" s="24"/>
      <c r="AG29" s="24"/>
      <c r="AH29" s="3"/>
      <c r="AI29" s="3"/>
      <c r="AJ29" s="3"/>
      <c r="AK29" s="3"/>
    </row>
    <row r="30" spans="1:37" ht="18" thickTop="1" x14ac:dyDescent="0.3">
      <c r="A30" s="27" t="s">
        <v>115</v>
      </c>
      <c r="B30" s="28">
        <v>0</v>
      </c>
      <c r="C30" s="208"/>
      <c r="D30" s="208"/>
      <c r="E30" s="208"/>
      <c r="F30" s="208"/>
      <c r="G30" s="208"/>
      <c r="H30" s="208"/>
      <c r="I30" s="208"/>
      <c r="J30" s="208"/>
      <c r="K30" s="208"/>
      <c r="L30" s="209"/>
      <c r="M30" s="209"/>
      <c r="N30" s="209"/>
      <c r="O30" s="209"/>
      <c r="P30" s="208"/>
      <c r="Q30" s="208"/>
      <c r="R30" s="177">
        <f>R29/B32</f>
        <v>0.84</v>
      </c>
      <c r="S30" s="177">
        <f t="shared" ref="S30:AD30" si="15">S29/$R29</f>
        <v>1</v>
      </c>
      <c r="T30" s="178">
        <f t="shared" si="15"/>
        <v>10</v>
      </c>
      <c r="U30" s="178">
        <f t="shared" si="15"/>
        <v>69</v>
      </c>
      <c r="V30" s="178">
        <f t="shared" si="15"/>
        <v>-10</v>
      </c>
      <c r="W30" s="178">
        <f t="shared" si="15"/>
        <v>90</v>
      </c>
      <c r="X30" s="178">
        <f t="shared" si="15"/>
        <v>650</v>
      </c>
      <c r="Y30" s="178">
        <f t="shared" si="15"/>
        <v>5</v>
      </c>
      <c r="Z30" s="178">
        <f t="shared" si="15"/>
        <v>3.6</v>
      </c>
      <c r="AA30" s="179">
        <f t="shared" si="15"/>
        <v>1.6666666666666665</v>
      </c>
      <c r="AB30" s="178">
        <f t="shared" si="15"/>
        <v>0</v>
      </c>
      <c r="AC30" s="178">
        <f t="shared" si="15"/>
        <v>0</v>
      </c>
      <c r="AD30" s="178">
        <f t="shared" si="15"/>
        <v>0</v>
      </c>
      <c r="AE30" s="136"/>
      <c r="AF30" s="3"/>
      <c r="AG30" s="3"/>
      <c r="AH30" s="3"/>
    </row>
    <row r="31" spans="1:37" ht="17.399999999999999" x14ac:dyDescent="0.3">
      <c r="A31" s="27" t="s">
        <v>116</v>
      </c>
      <c r="B31" s="1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10"/>
      <c r="Q31" s="208"/>
      <c r="R31" s="100" t="s">
        <v>128</v>
      </c>
      <c r="S31" s="69" t="s">
        <v>130</v>
      </c>
      <c r="T31" s="181" t="s">
        <v>61</v>
      </c>
      <c r="U31" s="181" t="s">
        <v>62</v>
      </c>
      <c r="V31" s="181" t="s">
        <v>131</v>
      </c>
      <c r="W31" s="29" t="s">
        <v>63</v>
      </c>
      <c r="X31" s="29"/>
      <c r="Y31" s="29"/>
      <c r="Z31" s="29"/>
      <c r="AA31" s="29"/>
      <c r="AB31" s="172" t="s">
        <v>70</v>
      </c>
      <c r="AC31" s="172" t="s">
        <v>144</v>
      </c>
      <c r="AD31" s="172"/>
      <c r="AE31" s="136"/>
      <c r="AF31" s="3"/>
      <c r="AG31" s="3"/>
      <c r="AH31" s="3"/>
    </row>
    <row r="32" spans="1:37" ht="18" thickBot="1" x14ac:dyDescent="0.35">
      <c r="A32" s="25" t="s">
        <v>117</v>
      </c>
      <c r="B32" s="187">
        <f>B29-B31-B30</f>
        <v>1</v>
      </c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72" t="s">
        <v>129</v>
      </c>
      <c r="S32" s="37"/>
      <c r="T32" s="37"/>
      <c r="U32" s="37"/>
      <c r="V32" s="37"/>
      <c r="W32" s="182">
        <f>W30/1000</f>
        <v>0.09</v>
      </c>
      <c r="X32" s="182">
        <f>X30/1000</f>
        <v>0.65</v>
      </c>
      <c r="Y32" s="182">
        <f>Y30/1000</f>
        <v>5.0000000000000001E-3</v>
      </c>
      <c r="Z32" s="182">
        <f>Z30/1000</f>
        <v>3.5999999999999999E-3</v>
      </c>
      <c r="AA32" s="182">
        <f>AA30/1000</f>
        <v>1.6666666666666666E-3</v>
      </c>
      <c r="AB32" s="183"/>
      <c r="AC32" s="182">
        <f>AC30/1000</f>
        <v>0</v>
      </c>
      <c r="AD32" s="182">
        <f>AD30/1000</f>
        <v>0</v>
      </c>
      <c r="AE32" s="136"/>
      <c r="AF32" s="3"/>
      <c r="AG32" s="3"/>
      <c r="AH32" s="3"/>
    </row>
    <row r="33" spans="1:34" ht="18" thickTop="1" x14ac:dyDescent="0.3">
      <c r="A33" s="191"/>
      <c r="B33" s="190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72"/>
      <c r="S33" s="37"/>
      <c r="T33" s="37"/>
      <c r="U33" s="37"/>
      <c r="V33" s="37"/>
      <c r="W33" s="114"/>
      <c r="X33" s="114"/>
      <c r="Y33" s="114"/>
      <c r="Z33" s="114"/>
      <c r="AA33" s="114"/>
      <c r="AB33" s="97"/>
      <c r="AC33" s="114"/>
      <c r="AD33" s="114"/>
      <c r="AE33" s="136"/>
      <c r="AF33" s="3"/>
      <c r="AG33" s="3"/>
      <c r="AH33" s="3"/>
    </row>
    <row r="34" spans="1:34" ht="17.399999999999999" x14ac:dyDescent="0.3">
      <c r="A34" s="191"/>
      <c r="B34" s="19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72"/>
      <c r="S34" s="37"/>
      <c r="T34" s="37"/>
      <c r="U34" s="37"/>
      <c r="V34" s="37"/>
      <c r="W34" s="114"/>
      <c r="X34" s="114"/>
      <c r="Y34" s="114"/>
      <c r="Z34" s="114"/>
      <c r="AA34" s="114"/>
      <c r="AB34" s="97"/>
      <c r="AC34" s="114"/>
      <c r="AD34" s="114"/>
      <c r="AE34" s="136"/>
      <c r="AF34" s="3"/>
      <c r="AG34" s="3"/>
      <c r="AH34" s="3"/>
    </row>
    <row r="35" spans="1:34" s="194" customFormat="1" ht="22.8" x14ac:dyDescent="0.4">
      <c r="A35" s="193" t="str">
        <f>A1</f>
        <v>ENDAGARS FODERSTATSKONTROLL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6"/>
      <c r="M35" s="196"/>
      <c r="N35" s="196"/>
      <c r="O35" s="196"/>
      <c r="P35" s="196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</row>
    <row r="36" spans="1:34" x14ac:dyDescent="0.25">
      <c r="A36" s="29" t="s">
        <v>79</v>
      </c>
      <c r="B36" s="29" t="str">
        <f>B4</f>
        <v>x</v>
      </c>
      <c r="C36" s="29"/>
      <c r="D36" s="29"/>
      <c r="E36" s="29"/>
      <c r="F36" s="29"/>
      <c r="G36" s="29"/>
      <c r="H36" s="29"/>
      <c r="I36" s="29"/>
      <c r="J36" s="29"/>
      <c r="K36" s="29"/>
      <c r="L36" s="72"/>
      <c r="M36" s="72"/>
      <c r="N36" s="72"/>
      <c r="O36" s="72"/>
      <c r="P36" s="207" t="s">
        <v>173</v>
      </c>
      <c r="Q36" s="52" t="s">
        <v>74</v>
      </c>
      <c r="R36" s="52" t="s">
        <v>75</v>
      </c>
      <c r="S36" s="52" t="s">
        <v>76</v>
      </c>
      <c r="T36" s="52" t="s">
        <v>171</v>
      </c>
      <c r="U36" s="52" t="s">
        <v>172</v>
      </c>
      <c r="V36" s="52"/>
      <c r="W36" s="52"/>
      <c r="X36" s="172"/>
      <c r="Y36" s="29"/>
      <c r="Z36" s="29"/>
      <c r="AA36" s="29"/>
      <c r="AB36" s="29"/>
      <c r="AC36" s="136"/>
      <c r="AD36" s="136"/>
      <c r="AE36" s="136"/>
      <c r="AF36" s="3"/>
    </row>
    <row r="37" spans="1:34" x14ac:dyDescent="0.25">
      <c r="A37" s="29" t="s">
        <v>80</v>
      </c>
      <c r="B37" s="91">
        <f>F3</f>
        <v>44882</v>
      </c>
      <c r="C37" s="29"/>
      <c r="D37" s="29"/>
      <c r="E37" s="29"/>
      <c r="F37" s="29"/>
      <c r="G37" s="29"/>
      <c r="H37" s="29"/>
      <c r="I37" s="29"/>
      <c r="J37" s="29"/>
      <c r="K37" s="29"/>
      <c r="L37" s="72"/>
      <c r="M37" s="72"/>
      <c r="N37" s="72"/>
      <c r="O37" s="72"/>
      <c r="P37" s="37"/>
      <c r="Q37" s="37" t="s">
        <v>97</v>
      </c>
      <c r="R37" s="37" t="s">
        <v>47</v>
      </c>
      <c r="S37" s="37" t="s">
        <v>47</v>
      </c>
      <c r="T37" s="37" t="s">
        <v>48</v>
      </c>
      <c r="U37" s="37" t="s">
        <v>48</v>
      </c>
      <c r="V37" s="37"/>
      <c r="W37" s="207" t="s">
        <v>174</v>
      </c>
      <c r="X37" s="37" t="s">
        <v>86</v>
      </c>
      <c r="Y37" s="37" t="s">
        <v>87</v>
      </c>
      <c r="Z37" s="37" t="s">
        <v>88</v>
      </c>
      <c r="AA37" s="37" t="s">
        <v>91</v>
      </c>
      <c r="AB37" s="29"/>
      <c r="AC37" s="136"/>
      <c r="AD37" s="136"/>
      <c r="AE37" s="136"/>
      <c r="AF37" s="3"/>
    </row>
    <row r="38" spans="1:34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72"/>
      <c r="M38" s="72"/>
      <c r="N38" s="72"/>
      <c r="O38" s="72"/>
      <c r="P38" s="72"/>
      <c r="Q38" s="126" t="s">
        <v>46</v>
      </c>
      <c r="R38" s="68" t="s">
        <v>49</v>
      </c>
      <c r="S38" s="68" t="s">
        <v>50</v>
      </c>
      <c r="T38" s="68" t="s">
        <v>51</v>
      </c>
      <c r="U38" s="68" t="s">
        <v>52</v>
      </c>
      <c r="V38" s="126"/>
      <c r="W38" s="126"/>
      <c r="X38" s="29">
        <v>10</v>
      </c>
      <c r="Y38" s="29">
        <v>10</v>
      </c>
      <c r="Z38" s="29">
        <v>13</v>
      </c>
      <c r="AA38" s="29">
        <v>50</v>
      </c>
      <c r="AB38" s="184"/>
      <c r="AC38" s="136"/>
      <c r="AD38" s="136"/>
      <c r="AE38" s="136"/>
      <c r="AF38" s="3"/>
    </row>
    <row r="39" spans="1:34" x14ac:dyDescent="0.25">
      <c r="A39" s="98" t="s">
        <v>15</v>
      </c>
      <c r="B39" s="72" t="s">
        <v>165</v>
      </c>
      <c r="C39" s="72" t="s">
        <v>166</v>
      </c>
      <c r="D39" s="99" t="s">
        <v>83</v>
      </c>
      <c r="E39" s="93" t="s">
        <v>101</v>
      </c>
      <c r="F39" s="92" t="s">
        <v>147</v>
      </c>
      <c r="G39" s="94" t="s">
        <v>29</v>
      </c>
      <c r="H39" s="69" t="s">
        <v>166</v>
      </c>
      <c r="I39" s="92" t="s">
        <v>83</v>
      </c>
      <c r="J39" s="93" t="s">
        <v>101</v>
      </c>
      <c r="K39" s="92" t="s">
        <v>147</v>
      </c>
      <c r="L39" s="72"/>
      <c r="M39" s="72"/>
      <c r="N39" s="72"/>
      <c r="O39" s="72"/>
      <c r="P39" s="37">
        <v>400</v>
      </c>
      <c r="Q39" s="69">
        <v>25</v>
      </c>
      <c r="R39" s="69">
        <v>15</v>
      </c>
      <c r="S39" s="33">
        <v>12</v>
      </c>
      <c r="T39" s="33">
        <v>9</v>
      </c>
      <c r="U39" s="29"/>
      <c r="V39" s="29"/>
      <c r="W39" s="37">
        <v>20</v>
      </c>
      <c r="X39" s="37">
        <v>14.3</v>
      </c>
      <c r="Y39" s="37">
        <v>16</v>
      </c>
      <c r="Z39" s="37">
        <v>42</v>
      </c>
      <c r="AA39" s="184"/>
      <c r="AB39" s="136"/>
      <c r="AC39" s="136"/>
      <c r="AD39" s="136"/>
      <c r="AE39" s="3"/>
    </row>
    <row r="40" spans="1:34" x14ac:dyDescent="0.25">
      <c r="A40" s="98" t="s">
        <v>72</v>
      </c>
      <c r="B40" s="72"/>
      <c r="C40" s="72"/>
      <c r="D40" s="99">
        <f>E12</f>
        <v>2608.8216560509559</v>
      </c>
      <c r="E40" s="100"/>
      <c r="F40" s="37"/>
      <c r="G40" s="101" t="s">
        <v>30</v>
      </c>
      <c r="H40" s="69"/>
      <c r="I40" s="102">
        <f>(T29-S4*B8-S10-S12)/D40</f>
        <v>-2.7063782602553181</v>
      </c>
      <c r="J40" s="100" t="s">
        <v>89</v>
      </c>
      <c r="K40" s="103"/>
      <c r="L40" s="72"/>
      <c r="M40" s="72"/>
      <c r="N40" s="97"/>
      <c r="O40" s="97"/>
      <c r="P40" s="37">
        <v>500</v>
      </c>
      <c r="Q40" s="69">
        <v>28</v>
      </c>
      <c r="R40" s="69">
        <v>17</v>
      </c>
      <c r="S40" s="33">
        <v>15</v>
      </c>
      <c r="T40" s="33">
        <v>11</v>
      </c>
      <c r="U40" s="29"/>
      <c r="V40" s="29"/>
      <c r="W40" s="37">
        <v>30</v>
      </c>
      <c r="X40" s="37">
        <v>18.600000000000001</v>
      </c>
      <c r="Y40" s="37">
        <v>17</v>
      </c>
      <c r="Z40" s="37">
        <v>37</v>
      </c>
      <c r="AA40" s="184"/>
      <c r="AB40" s="136"/>
      <c r="AC40" s="136"/>
      <c r="AD40" s="136"/>
      <c r="AE40" s="3"/>
    </row>
    <row r="41" spans="1:34" x14ac:dyDescent="0.25">
      <c r="A41" s="98" t="s">
        <v>16</v>
      </c>
      <c r="B41" s="72"/>
      <c r="C41" s="72"/>
      <c r="D41" s="104">
        <f>D40/B8</f>
        <v>26.088216560509558</v>
      </c>
      <c r="E41" s="100"/>
      <c r="F41" s="37"/>
      <c r="G41" s="101" t="s">
        <v>32</v>
      </c>
      <c r="H41" s="69"/>
      <c r="I41" s="102">
        <f>U29/T29</f>
        <v>6.8999999999999995</v>
      </c>
      <c r="J41" s="100" t="s">
        <v>102</v>
      </c>
      <c r="K41" s="29"/>
      <c r="L41" s="72"/>
      <c r="M41" s="72"/>
      <c r="N41" s="97"/>
      <c r="O41" s="97"/>
      <c r="P41" s="37">
        <v>600</v>
      </c>
      <c r="Q41" s="69">
        <v>31</v>
      </c>
      <c r="R41" s="69">
        <v>19</v>
      </c>
      <c r="S41" s="33">
        <v>18</v>
      </c>
      <c r="T41" s="33">
        <v>13</v>
      </c>
      <c r="U41" s="29"/>
      <c r="V41" s="29"/>
      <c r="W41" s="37">
        <v>40</v>
      </c>
      <c r="X41" s="37">
        <v>22.9</v>
      </c>
      <c r="Y41" s="37">
        <v>18</v>
      </c>
      <c r="Z41" s="37">
        <v>34</v>
      </c>
      <c r="AA41" s="184"/>
      <c r="AB41" s="136"/>
      <c r="AC41" s="136"/>
      <c r="AD41" s="136"/>
      <c r="AE41" s="3"/>
    </row>
    <row r="42" spans="1:34" x14ac:dyDescent="0.25">
      <c r="A42" s="29" t="s">
        <v>68</v>
      </c>
      <c r="B42" s="29"/>
      <c r="C42" s="29"/>
      <c r="D42" s="104">
        <f>R29/B8</f>
        <v>8.3999999999999995E-3</v>
      </c>
      <c r="E42" s="105">
        <f>4.9+0.015*B9+0.2*E14</f>
        <v>20.383054140127388</v>
      </c>
      <c r="F42" s="105">
        <f>0.43*B14+5.7</f>
        <v>19.137499999999999</v>
      </c>
      <c r="G42" s="101" t="s">
        <v>31</v>
      </c>
      <c r="H42" s="69"/>
      <c r="I42" s="102">
        <f>(U29-T4*B8-T10-T12)/D40</f>
        <v>-17.204201207443294</v>
      </c>
      <c r="J42" s="100" t="s">
        <v>90</v>
      </c>
      <c r="K42" s="106"/>
      <c r="L42" s="72"/>
      <c r="M42" s="97"/>
      <c r="N42" s="97"/>
      <c r="O42" s="97"/>
      <c r="P42" s="37">
        <v>700</v>
      </c>
      <c r="Q42" s="69">
        <v>34</v>
      </c>
      <c r="R42" s="69">
        <v>21</v>
      </c>
      <c r="S42" s="33">
        <v>21</v>
      </c>
      <c r="T42" s="33">
        <v>15</v>
      </c>
      <c r="U42" s="29"/>
      <c r="V42" s="29"/>
      <c r="W42" s="37">
        <v>50</v>
      </c>
      <c r="X42" s="37">
        <v>27.2</v>
      </c>
      <c r="Y42" s="37">
        <v>19</v>
      </c>
      <c r="Z42" s="37">
        <v>32</v>
      </c>
      <c r="AA42" s="184"/>
      <c r="AB42" s="136"/>
      <c r="AC42" s="136"/>
      <c r="AD42" s="136"/>
      <c r="AE42" s="3"/>
    </row>
    <row r="43" spans="1:34" x14ac:dyDescent="0.25">
      <c r="A43" s="98" t="s">
        <v>17</v>
      </c>
      <c r="B43" s="72"/>
      <c r="C43" s="72"/>
      <c r="D43" s="104">
        <f>S29/B8</f>
        <v>8.3999999999999995E-3</v>
      </c>
      <c r="E43" s="100"/>
      <c r="F43" s="37"/>
      <c r="G43" s="101" t="s">
        <v>33</v>
      </c>
      <c r="H43" s="69"/>
      <c r="I43" s="108">
        <f>V29/B8</f>
        <v>-8.4000000000000005E-2</v>
      </c>
      <c r="J43" s="100" t="s">
        <v>85</v>
      </c>
      <c r="K43" s="72"/>
      <c r="L43" s="72"/>
      <c r="M43" s="97"/>
      <c r="N43" s="107"/>
      <c r="O43" s="107"/>
      <c r="P43" s="107"/>
      <c r="Q43" s="107"/>
      <c r="R43" s="185"/>
      <c r="S43" s="37"/>
      <c r="T43" s="37"/>
      <c r="U43" s="37"/>
      <c r="V43" s="37"/>
      <c r="W43" s="136"/>
      <c r="X43" s="37"/>
      <c r="Y43" s="37"/>
      <c r="Z43" s="37"/>
      <c r="AA43" s="37"/>
      <c r="AB43" s="29"/>
      <c r="AC43" s="29"/>
      <c r="AD43" s="29"/>
    </row>
    <row r="44" spans="1:34" x14ac:dyDescent="0.25">
      <c r="A44" s="98" t="s">
        <v>18</v>
      </c>
      <c r="B44" s="72"/>
      <c r="C44" s="72"/>
      <c r="D44" s="104">
        <f>D42-D43</f>
        <v>0</v>
      </c>
      <c r="E44" s="100"/>
      <c r="F44" s="37"/>
      <c r="G44" s="29" t="s">
        <v>59</v>
      </c>
      <c r="H44" s="29"/>
      <c r="I44" s="109">
        <f>W32</f>
        <v>0.09</v>
      </c>
      <c r="J44" s="29"/>
      <c r="K44" s="105">
        <f>3.607*LN(B14)+4.841</f>
        <v>17.256363889889958</v>
      </c>
      <c r="L44" s="72"/>
      <c r="M44" s="97"/>
      <c r="N44" s="107"/>
      <c r="O44" s="107"/>
      <c r="P44" s="107"/>
      <c r="Q44" s="107"/>
      <c r="R44" s="37"/>
      <c r="S44" s="37"/>
      <c r="T44" s="37"/>
      <c r="U44" s="37"/>
      <c r="V44" s="37"/>
      <c r="W44" s="136"/>
      <c r="X44" s="37"/>
      <c r="Y44" s="37"/>
      <c r="Z44" s="37"/>
      <c r="AA44" s="37"/>
      <c r="AB44" s="29"/>
      <c r="AC44" s="29"/>
      <c r="AD44" s="29"/>
    </row>
    <row r="45" spans="1:34" x14ac:dyDescent="0.25">
      <c r="A45" s="98" t="s">
        <v>19</v>
      </c>
      <c r="B45" s="72"/>
      <c r="C45" s="72"/>
      <c r="D45" s="110">
        <f>D43/D42</f>
        <v>1</v>
      </c>
      <c r="E45" s="100"/>
      <c r="F45" s="72"/>
      <c r="G45" s="29" t="s">
        <v>60</v>
      </c>
      <c r="H45" s="29"/>
      <c r="I45" s="109">
        <f>X32</f>
        <v>0.65</v>
      </c>
      <c r="J45" s="37" t="s">
        <v>106</v>
      </c>
      <c r="K45" s="95">
        <f>95.98*(B14^-0.2802)/100</f>
        <v>0.36586744666388493</v>
      </c>
      <c r="L45" s="78"/>
      <c r="M45" s="107"/>
      <c r="N45" s="107"/>
      <c r="O45" s="107"/>
      <c r="P45" s="107"/>
      <c r="Q45" s="107"/>
      <c r="R45" s="37"/>
      <c r="S45" s="186"/>
      <c r="T45" s="37"/>
      <c r="U45" s="37"/>
      <c r="V45" s="37"/>
      <c r="W45" s="136"/>
      <c r="X45" s="37"/>
      <c r="Y45" s="37"/>
      <c r="Z45" s="37"/>
      <c r="AA45" s="37"/>
      <c r="AB45" s="29"/>
      <c r="AC45" s="29"/>
      <c r="AD45" s="29"/>
    </row>
    <row r="46" spans="1:34" x14ac:dyDescent="0.25">
      <c r="A46" s="98" t="s">
        <v>69</v>
      </c>
      <c r="B46" s="72"/>
      <c r="C46" s="72"/>
      <c r="D46" s="112">
        <f>D44/D41</f>
        <v>0</v>
      </c>
      <c r="E46" s="100" t="s">
        <v>84</v>
      </c>
      <c r="F46" s="72"/>
      <c r="G46" s="29" t="s">
        <v>150</v>
      </c>
      <c r="H46" s="29"/>
      <c r="I46" s="99">
        <f>AB29/R29</f>
        <v>0</v>
      </c>
      <c r="J46" s="113" t="s">
        <v>155</v>
      </c>
      <c r="K46" s="72"/>
      <c r="L46" s="78"/>
      <c r="M46" s="107"/>
      <c r="N46" s="111"/>
      <c r="O46" s="111"/>
      <c r="P46" s="111"/>
      <c r="Q46" s="111"/>
      <c r="R46" s="37"/>
      <c r="S46" s="107"/>
      <c r="T46" s="37"/>
      <c r="U46" s="37"/>
      <c r="V46" s="37"/>
      <c r="W46" s="136"/>
      <c r="X46" s="37"/>
      <c r="Y46" s="37"/>
      <c r="Z46" s="37"/>
      <c r="AA46" s="37"/>
      <c r="AB46" s="29"/>
      <c r="AC46" s="29"/>
      <c r="AD46" s="29"/>
    </row>
    <row r="47" spans="1:34" x14ac:dyDescent="0.25">
      <c r="A47" s="29" t="s">
        <v>73</v>
      </c>
      <c r="B47" s="29"/>
      <c r="C47" s="29"/>
      <c r="D47" s="112">
        <f>(R29-S29)/B12</f>
        <v>0</v>
      </c>
      <c r="E47" s="100" t="s">
        <v>84</v>
      </c>
      <c r="F47" s="97"/>
      <c r="G47" s="29" t="s">
        <v>104</v>
      </c>
      <c r="H47" s="29"/>
      <c r="I47" s="188">
        <f>Y32</f>
        <v>5.0000000000000001E-3</v>
      </c>
      <c r="J47" s="69"/>
      <c r="K47" s="72" t="s">
        <v>153</v>
      </c>
      <c r="L47" s="78"/>
      <c r="M47" s="107"/>
      <c r="N47" s="107"/>
      <c r="O47" s="107"/>
      <c r="P47" s="107"/>
      <c r="Q47" s="107"/>
      <c r="R47" s="37"/>
      <c r="S47" s="186"/>
      <c r="T47" s="37"/>
      <c r="U47" s="37"/>
      <c r="V47" s="37"/>
      <c r="W47" s="136"/>
      <c r="X47" s="37"/>
      <c r="Y47" s="37"/>
      <c r="Z47" s="37"/>
      <c r="AA47" s="37"/>
      <c r="AB47" s="29"/>
      <c r="AC47" s="29"/>
      <c r="AD47" s="29"/>
    </row>
    <row r="48" spans="1:34" x14ac:dyDescent="0.25">
      <c r="A48" s="98" t="s">
        <v>21</v>
      </c>
      <c r="B48" s="72"/>
      <c r="C48" s="72"/>
      <c r="D48" s="104">
        <f>T30</f>
        <v>10</v>
      </c>
      <c r="E48" s="114"/>
      <c r="F48" s="97"/>
      <c r="G48" s="29" t="s">
        <v>105</v>
      </c>
      <c r="H48" s="29"/>
      <c r="I48" s="188">
        <f>Z32</f>
        <v>3.5999999999999999E-3</v>
      </c>
      <c r="J48" s="69" t="s">
        <v>156</v>
      </c>
      <c r="K48" s="37" t="s">
        <v>154</v>
      </c>
      <c r="L48" s="72"/>
      <c r="M48" s="111"/>
      <c r="N48" s="111"/>
      <c r="O48" s="111"/>
      <c r="P48" s="111"/>
      <c r="Q48" s="111"/>
      <c r="R48" s="37"/>
      <c r="S48" s="107"/>
      <c r="T48" s="37"/>
      <c r="U48" s="37"/>
      <c r="V48" s="37"/>
      <c r="W48" s="136"/>
      <c r="X48" s="37"/>
      <c r="Y48" s="37"/>
      <c r="Z48" s="37"/>
      <c r="AA48" s="37"/>
      <c r="AB48" s="29"/>
      <c r="AC48" s="29"/>
      <c r="AD48" s="29"/>
    </row>
    <row r="49" spans="1:31" x14ac:dyDescent="0.25">
      <c r="M49" s="72"/>
      <c r="N49" s="107"/>
      <c r="O49" s="37"/>
      <c r="P49" s="37"/>
      <c r="Q49" s="37"/>
      <c r="R49" s="37"/>
      <c r="S49" s="37"/>
      <c r="T49" s="37"/>
      <c r="U49" s="37"/>
      <c r="V49" s="37"/>
      <c r="W49" s="37"/>
      <c r="X49" s="136"/>
      <c r="Y49" s="37"/>
      <c r="Z49" s="37"/>
      <c r="AA49" s="37"/>
      <c r="AB49" s="37"/>
      <c r="AC49" s="29"/>
      <c r="AD49" s="29"/>
      <c r="AE49" s="29"/>
    </row>
    <row r="50" spans="1:31" x14ac:dyDescent="0.25">
      <c r="A50" s="93" t="s">
        <v>45</v>
      </c>
      <c r="B50" s="118" t="s">
        <v>166</v>
      </c>
      <c r="C50" s="107"/>
      <c r="D50" s="107"/>
      <c r="G50" s="93" t="s">
        <v>25</v>
      </c>
      <c r="H50" s="29" t="s">
        <v>166</v>
      </c>
      <c r="I50" s="104" t="s">
        <v>167</v>
      </c>
      <c r="J50" s="100" t="s">
        <v>168</v>
      </c>
      <c r="K50" s="72"/>
      <c r="L50" s="111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29"/>
      <c r="AB50" s="29"/>
      <c r="AC50" s="29"/>
    </row>
    <row r="51" spans="1:31" x14ac:dyDescent="0.25">
      <c r="A51" s="117" t="s">
        <v>26</v>
      </c>
      <c r="B51" s="119">
        <f>(B12*F12)-AA29</f>
        <v>8748.6</v>
      </c>
      <c r="C51" s="107"/>
      <c r="D51" s="107"/>
      <c r="G51" s="29" t="s">
        <v>82</v>
      </c>
      <c r="H51" s="29"/>
      <c r="I51" s="104">
        <f>Y29/Z29</f>
        <v>1.3888888888888888</v>
      </c>
      <c r="J51" s="100" t="s">
        <v>145</v>
      </c>
      <c r="K51" s="72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29"/>
      <c r="AB51" s="29"/>
      <c r="AC51" s="29"/>
    </row>
    <row r="52" spans="1:31" x14ac:dyDescent="0.25">
      <c r="A52" s="116" t="s">
        <v>27</v>
      </c>
      <c r="B52" s="120">
        <f>B51/B8</f>
        <v>87.486000000000004</v>
      </c>
      <c r="C52" s="107"/>
      <c r="D52" s="107"/>
      <c r="G52" s="116" t="s">
        <v>157</v>
      </c>
      <c r="H52" s="107"/>
      <c r="I52" s="102">
        <f>(Y29-U13)/B8</f>
        <v>-104.59136305732483</v>
      </c>
      <c r="J52" s="100" t="s">
        <v>151</v>
      </c>
      <c r="K52" s="72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29"/>
      <c r="AB52" s="29"/>
      <c r="AC52" s="29"/>
    </row>
    <row r="53" spans="1:31" x14ac:dyDescent="0.25">
      <c r="A53" s="117" t="s">
        <v>81</v>
      </c>
      <c r="B53" s="121">
        <f>B51/E12</f>
        <v>3.3534680225105897</v>
      </c>
      <c r="C53" s="111"/>
      <c r="D53" s="111"/>
      <c r="G53" s="116" t="s">
        <v>158</v>
      </c>
      <c r="H53" s="107"/>
      <c r="I53" s="102">
        <f>(Z29-V13)/B8</f>
        <v>-64.636906496815286</v>
      </c>
      <c r="J53" s="100" t="s">
        <v>152</v>
      </c>
      <c r="K53" s="72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29"/>
      <c r="AB53" s="29"/>
      <c r="AC53" s="29"/>
    </row>
    <row r="54" spans="1:31" x14ac:dyDescent="0.25">
      <c r="E54" s="107"/>
      <c r="F54" s="107"/>
      <c r="M54" s="72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29"/>
      <c r="AD54" s="29"/>
      <c r="AE54" s="29"/>
    </row>
    <row r="55" spans="1:31" ht="15.6" x14ac:dyDescent="0.3">
      <c r="A55" s="199" t="s">
        <v>6</v>
      </c>
      <c r="B55" s="199" t="s">
        <v>81</v>
      </c>
      <c r="C55" s="199"/>
      <c r="D55" s="201">
        <f>AA29/E12</f>
        <v>5.3664074612107368E-4</v>
      </c>
      <c r="E55" s="111"/>
      <c r="F55" s="111"/>
      <c r="G55" s="62" t="s">
        <v>99</v>
      </c>
      <c r="H55" s="29" t="s">
        <v>166</v>
      </c>
      <c r="I55" s="123" t="s">
        <v>167</v>
      </c>
      <c r="J55" s="69" t="s">
        <v>168</v>
      </c>
      <c r="K55" s="69"/>
      <c r="L55" s="69"/>
      <c r="M55" s="72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29"/>
      <c r="AD55" s="29"/>
      <c r="AE55" s="29"/>
    </row>
    <row r="56" spans="1:31" ht="15.6" x14ac:dyDescent="0.3">
      <c r="B56" s="37"/>
      <c r="C56" s="37"/>
      <c r="D56" s="97"/>
      <c r="E56" s="67"/>
      <c r="F56" s="122" t="s">
        <v>161</v>
      </c>
      <c r="G56" s="29" t="s">
        <v>103</v>
      </c>
      <c r="H56" s="29"/>
      <c r="I56" s="123">
        <f>B12*D12/100/(W29/1000)</f>
        <v>1104.4973544973545</v>
      </c>
      <c r="J56" s="69" t="s">
        <v>106</v>
      </c>
      <c r="L56" s="69"/>
      <c r="M56" s="72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29"/>
      <c r="AD56" s="29"/>
      <c r="AE56" s="29"/>
    </row>
    <row r="57" spans="1:31" ht="15.6" x14ac:dyDescent="0.3">
      <c r="A57" s="62" t="s">
        <v>135</v>
      </c>
      <c r="B57" s="29" t="s">
        <v>166</v>
      </c>
      <c r="C57" s="127" t="s">
        <v>167</v>
      </c>
      <c r="D57" s="100" t="s">
        <v>168</v>
      </c>
      <c r="E57" s="95"/>
      <c r="F57" s="95"/>
      <c r="G57" s="29" t="s">
        <v>132</v>
      </c>
      <c r="H57" s="29"/>
      <c r="I57" s="125">
        <f>AC29/W29</f>
        <v>0</v>
      </c>
      <c r="J57" s="69"/>
      <c r="L57" s="69"/>
      <c r="M57" s="72"/>
      <c r="N57" s="37"/>
      <c r="O57" s="124" t="s">
        <v>74</v>
      </c>
      <c r="P57" s="52" t="s">
        <v>23</v>
      </c>
      <c r="Q57" s="52" t="s">
        <v>175</v>
      </c>
      <c r="R57" s="52" t="s">
        <v>24</v>
      </c>
      <c r="S57" s="52" t="s">
        <v>176</v>
      </c>
      <c r="T57" s="29"/>
      <c r="U57" s="29"/>
      <c r="V57" s="37"/>
      <c r="W57" s="37"/>
      <c r="X57" s="37"/>
      <c r="Y57" s="37"/>
      <c r="Z57" s="37"/>
      <c r="AA57" s="37"/>
      <c r="AB57" s="37"/>
      <c r="AC57" s="29"/>
      <c r="AD57" s="29"/>
      <c r="AE57" s="29"/>
    </row>
    <row r="58" spans="1:31" x14ac:dyDescent="0.25">
      <c r="A58" s="29" t="s">
        <v>135</v>
      </c>
      <c r="B58" s="29"/>
      <c r="C58" s="127">
        <f>S8/(T29-S10-S12-S5)</f>
        <v>-9.1816403174260568</v>
      </c>
      <c r="D58" s="100" t="s">
        <v>133</v>
      </c>
      <c r="E58" s="37"/>
      <c r="F58" s="29"/>
      <c r="K58" s="69"/>
      <c r="L58" s="29"/>
      <c r="M58" s="37"/>
      <c r="N58" s="37"/>
      <c r="O58" s="37" t="s">
        <v>109</v>
      </c>
      <c r="P58" s="52" t="s">
        <v>124</v>
      </c>
      <c r="Q58" s="52" t="s">
        <v>125</v>
      </c>
      <c r="R58" s="52" t="s">
        <v>124</v>
      </c>
      <c r="S58" s="52" t="s">
        <v>126</v>
      </c>
      <c r="T58" s="29"/>
      <c r="U58" s="29"/>
      <c r="V58" s="37"/>
      <c r="W58" s="37"/>
      <c r="X58" s="37"/>
      <c r="Y58" s="37"/>
      <c r="Z58" s="37"/>
      <c r="AA58" s="37"/>
      <c r="AB58" s="37"/>
      <c r="AC58" s="29"/>
      <c r="AD58" s="29"/>
      <c r="AE58" s="29"/>
    </row>
    <row r="59" spans="1:31" x14ac:dyDescent="0.25">
      <c r="A59" s="29" t="s">
        <v>159</v>
      </c>
      <c r="B59" s="29"/>
      <c r="C59" s="102">
        <f>D40/R29</f>
        <v>3105.7400667273287</v>
      </c>
      <c r="D59" s="100" t="s">
        <v>160</v>
      </c>
      <c r="E59" s="37"/>
      <c r="F59" s="29"/>
      <c r="G59" s="202" t="s">
        <v>137</v>
      </c>
      <c r="H59" s="203"/>
      <c r="I59" s="204"/>
      <c r="J59" s="205">
        <f>H8</f>
        <v>4</v>
      </c>
      <c r="K59" s="197" t="s">
        <v>138</v>
      </c>
      <c r="L59" s="29"/>
      <c r="M59" s="37"/>
      <c r="N59" s="37"/>
      <c r="O59" s="126" t="s">
        <v>46</v>
      </c>
      <c r="P59" s="68" t="s">
        <v>110</v>
      </c>
      <c r="Q59" s="68" t="s">
        <v>107</v>
      </c>
      <c r="R59" s="68" t="s">
        <v>111</v>
      </c>
      <c r="S59" s="68" t="s">
        <v>108</v>
      </c>
      <c r="T59" s="29"/>
      <c r="U59" s="29"/>
      <c r="V59" s="37"/>
      <c r="W59" s="37"/>
      <c r="X59" s="37"/>
      <c r="Y59" s="37"/>
      <c r="Z59" s="37"/>
      <c r="AA59" s="37"/>
      <c r="AB59" s="37"/>
      <c r="AC59" s="29"/>
      <c r="AD59" s="29"/>
      <c r="AE59" s="29"/>
    </row>
    <row r="60" spans="1:31" x14ac:dyDescent="0.25">
      <c r="B60" s="72"/>
      <c r="C60" s="129"/>
      <c r="D60" s="130"/>
      <c r="E60" s="29"/>
      <c r="F60" s="29"/>
      <c r="G60" s="29"/>
      <c r="H60" s="29"/>
      <c r="I60" s="29"/>
      <c r="J60" s="29"/>
      <c r="K60" s="69"/>
      <c r="L60" s="29"/>
      <c r="M60" s="69"/>
      <c r="N60" s="37"/>
      <c r="O60" s="37">
        <v>400</v>
      </c>
      <c r="P60" s="69">
        <v>8</v>
      </c>
      <c r="Q60" s="69">
        <v>15</v>
      </c>
      <c r="R60" s="69">
        <v>68</v>
      </c>
      <c r="S60" s="33">
        <v>116</v>
      </c>
      <c r="T60" s="29"/>
      <c r="U60" s="29"/>
      <c r="V60" s="37"/>
      <c r="W60" s="37"/>
      <c r="X60" s="37"/>
      <c r="Y60" s="37"/>
      <c r="Z60" s="37"/>
      <c r="AA60" s="37"/>
      <c r="AB60" s="37"/>
      <c r="AC60" s="29"/>
      <c r="AD60" s="29"/>
      <c r="AE60" s="29"/>
    </row>
    <row r="61" spans="1:31" x14ac:dyDescent="0.25">
      <c r="A61" s="128" t="s">
        <v>22</v>
      </c>
      <c r="B61" s="115" t="s">
        <v>166</v>
      </c>
      <c r="C61" s="127" t="s">
        <v>167</v>
      </c>
      <c r="D61" s="95" t="s">
        <v>168</v>
      </c>
      <c r="E61" s="100"/>
      <c r="F61" s="29"/>
      <c r="G61" s="29"/>
      <c r="H61" s="29"/>
      <c r="I61" s="29"/>
      <c r="J61" s="29"/>
      <c r="K61" s="69"/>
      <c r="L61" s="29"/>
      <c r="M61" s="69"/>
      <c r="N61" s="37"/>
      <c r="O61" s="37">
        <v>500</v>
      </c>
      <c r="P61" s="69">
        <v>11</v>
      </c>
      <c r="Q61" s="69">
        <v>19</v>
      </c>
      <c r="R61" s="69">
        <v>85</v>
      </c>
      <c r="S61" s="33">
        <v>146</v>
      </c>
      <c r="T61" s="29"/>
      <c r="U61" s="29"/>
      <c r="V61" s="37"/>
      <c r="W61" s="37"/>
      <c r="X61" s="37"/>
      <c r="Y61" s="37"/>
      <c r="Z61" s="37"/>
      <c r="AA61" s="37"/>
      <c r="AB61" s="37"/>
      <c r="AC61" s="29"/>
      <c r="AD61" s="29"/>
      <c r="AE61" s="29"/>
    </row>
    <row r="62" spans="1:31" x14ac:dyDescent="0.25">
      <c r="A62" s="115" t="s">
        <v>23</v>
      </c>
      <c r="B62" s="115"/>
      <c r="C62" s="127">
        <f>T29/S13</f>
        <v>3.9981766165501014E-4</v>
      </c>
      <c r="D62" s="95" t="s">
        <v>149</v>
      </c>
      <c r="F62" s="29"/>
      <c r="G62" s="197" t="s">
        <v>139</v>
      </c>
      <c r="H62" s="198"/>
      <c r="I62" s="199" t="s">
        <v>140</v>
      </c>
      <c r="J62" s="200">
        <f>AD29/R29</f>
        <v>0</v>
      </c>
      <c r="K62" s="197" t="s">
        <v>141</v>
      </c>
      <c r="L62" s="69"/>
      <c r="M62" s="69"/>
      <c r="N62" s="37"/>
      <c r="O62" s="37">
        <v>600</v>
      </c>
      <c r="P62" s="69">
        <v>13</v>
      </c>
      <c r="Q62" s="69">
        <v>23</v>
      </c>
      <c r="R62" s="69">
        <v>98</v>
      </c>
      <c r="S62" s="33">
        <v>168</v>
      </c>
      <c r="T62" s="29"/>
      <c r="U62" s="29"/>
      <c r="V62" s="37"/>
      <c r="W62" s="37"/>
      <c r="X62" s="37"/>
      <c r="Y62" s="37"/>
      <c r="Z62" s="37"/>
      <c r="AA62" s="37"/>
      <c r="AB62" s="37"/>
      <c r="AC62" s="29"/>
      <c r="AD62" s="29"/>
      <c r="AE62" s="29"/>
    </row>
    <row r="63" spans="1:31" x14ac:dyDescent="0.25">
      <c r="A63" s="115" t="s">
        <v>24</v>
      </c>
      <c r="B63" s="115"/>
      <c r="C63" s="127">
        <f>U29/T13</f>
        <v>3.6810306832295992E-4</v>
      </c>
      <c r="D63" s="95" t="s">
        <v>134</v>
      </c>
      <c r="F63" s="29"/>
      <c r="G63" s="62"/>
      <c r="H63" s="29"/>
      <c r="I63" s="29"/>
      <c r="J63" s="29"/>
      <c r="K63" s="69"/>
      <c r="L63" s="69"/>
      <c r="M63" s="113"/>
      <c r="N63" s="37"/>
      <c r="O63" s="37">
        <v>700</v>
      </c>
      <c r="P63" s="69">
        <v>15</v>
      </c>
      <c r="Q63" s="69">
        <v>27</v>
      </c>
      <c r="R63" s="69">
        <v>109</v>
      </c>
      <c r="S63" s="33">
        <v>188</v>
      </c>
      <c r="T63" s="29"/>
      <c r="U63" s="29"/>
      <c r="V63" s="37"/>
      <c r="W63" s="37"/>
      <c r="X63" s="37"/>
      <c r="Y63" s="37"/>
      <c r="Z63" s="37"/>
      <c r="AA63" s="37"/>
      <c r="AB63" s="37"/>
      <c r="AC63" s="29"/>
      <c r="AD63" s="29"/>
      <c r="AE63" s="29"/>
    </row>
    <row r="64" spans="1:31" x14ac:dyDescent="0.25">
      <c r="F64" s="29"/>
      <c r="H64" s="29"/>
      <c r="I64" s="29"/>
      <c r="L64" s="96"/>
      <c r="M64" s="113"/>
      <c r="N64" s="37"/>
      <c r="O64" s="37"/>
      <c r="P64" s="69"/>
      <c r="Q64" s="69"/>
      <c r="R64" s="69"/>
      <c r="S64" s="33"/>
      <c r="T64" s="29"/>
      <c r="U64" s="29"/>
      <c r="V64" s="37"/>
      <c r="W64" s="37"/>
      <c r="X64" s="37"/>
      <c r="Y64" s="37"/>
      <c r="Z64" s="37"/>
      <c r="AA64" s="37"/>
      <c r="AB64" s="37"/>
      <c r="AC64" s="29"/>
      <c r="AD64" s="29"/>
      <c r="AE64" s="29"/>
    </row>
    <row r="65" spans="1:31" x14ac:dyDescent="0.25">
      <c r="F65" s="29"/>
      <c r="G65" s="29"/>
      <c r="H65" s="29"/>
      <c r="I65" s="29"/>
      <c r="J65" s="29"/>
      <c r="K65" s="29"/>
      <c r="L65" s="95"/>
      <c r="M65" s="69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29"/>
      <c r="AD65" s="29"/>
      <c r="AE65" s="29"/>
    </row>
    <row r="66" spans="1:31" x14ac:dyDescent="0.25">
      <c r="F66" s="29"/>
      <c r="G66" s="29"/>
      <c r="H66" s="29"/>
      <c r="I66" s="29"/>
      <c r="J66" s="29"/>
      <c r="K66" s="29"/>
      <c r="L66" s="37"/>
      <c r="M66" s="69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29"/>
      <c r="AD66" s="29"/>
      <c r="AE66" s="29"/>
    </row>
    <row r="67" spans="1:31" x14ac:dyDescent="0.25">
      <c r="F67" s="29"/>
      <c r="G67" s="29"/>
      <c r="H67" s="37"/>
      <c r="I67" s="29"/>
      <c r="J67" s="29"/>
      <c r="K67" s="29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29"/>
      <c r="AD67" s="29"/>
      <c r="AE67" s="29"/>
    </row>
    <row r="68" spans="1:31" x14ac:dyDescent="0.25"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29"/>
      <c r="AD68" s="29"/>
      <c r="AE68" s="29"/>
    </row>
    <row r="69" spans="1:31" x14ac:dyDescent="0.25">
      <c r="E69" s="29"/>
      <c r="F69" s="29"/>
      <c r="G69" s="29"/>
      <c r="H69" s="37"/>
      <c r="I69" s="29"/>
      <c r="J69" s="29"/>
      <c r="K69" s="29"/>
      <c r="L69" s="52"/>
      <c r="M69" s="29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29"/>
      <c r="AD69" s="29"/>
      <c r="AE69" s="29"/>
    </row>
    <row r="70" spans="1:31" x14ac:dyDescent="0.25">
      <c r="A70" s="29"/>
      <c r="B70" s="29"/>
      <c r="C70" s="29"/>
      <c r="D70" s="29"/>
      <c r="E70" s="29"/>
      <c r="F70" s="29"/>
      <c r="G70" s="29"/>
      <c r="H70" s="37"/>
      <c r="I70" s="29"/>
      <c r="J70" s="29"/>
      <c r="K70" s="29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29"/>
      <c r="AD70" s="29"/>
      <c r="AE70" s="29"/>
    </row>
    <row r="71" spans="1:31" x14ac:dyDescent="0.25">
      <c r="A71" s="29"/>
      <c r="B71" s="29"/>
      <c r="C71" s="29"/>
      <c r="D71" s="29"/>
      <c r="E71" s="29"/>
      <c r="F71" s="29"/>
      <c r="G71" s="29"/>
      <c r="H71" s="37"/>
      <c r="I71" s="29"/>
      <c r="J71" s="29"/>
      <c r="K71" s="29"/>
      <c r="L71" s="37"/>
      <c r="M71" s="37"/>
      <c r="N71" s="131"/>
      <c r="O71" s="131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29"/>
      <c r="AD71" s="29"/>
      <c r="AE71" s="29"/>
    </row>
    <row r="72" spans="1:31" x14ac:dyDescent="0.25">
      <c r="A72" s="29"/>
      <c r="B72" s="29"/>
      <c r="C72" s="29"/>
      <c r="D72" s="29"/>
      <c r="E72" s="29"/>
      <c r="F72" s="132"/>
      <c r="G72" s="132"/>
      <c r="H72" s="132"/>
      <c r="I72" s="37"/>
      <c r="J72" s="37"/>
      <c r="K72" s="37"/>
      <c r="L72" s="37"/>
      <c r="M72" s="133"/>
      <c r="N72" s="133"/>
      <c r="O72" s="134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29"/>
      <c r="AD72" s="29"/>
      <c r="AE72" s="29"/>
    </row>
    <row r="73" spans="1:31" x14ac:dyDescent="0.25">
      <c r="A73" s="29"/>
      <c r="B73" s="29"/>
      <c r="C73" s="29"/>
      <c r="D73" s="29"/>
      <c r="E73" s="29"/>
      <c r="F73" s="135"/>
      <c r="G73" s="37"/>
      <c r="H73" s="72"/>
      <c r="I73" s="37"/>
      <c r="J73" s="37"/>
      <c r="K73" s="37"/>
      <c r="L73" s="37"/>
      <c r="M73" s="37"/>
      <c r="N73" s="37"/>
      <c r="O73" s="135"/>
      <c r="P73" s="37"/>
      <c r="Q73" s="72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29"/>
      <c r="AD73" s="29"/>
      <c r="AE73" s="29"/>
    </row>
    <row r="74" spans="1:31" x14ac:dyDescent="0.25">
      <c r="A74" s="29"/>
      <c r="B74" s="29"/>
      <c r="C74" s="29"/>
      <c r="D74" s="29"/>
      <c r="F74" s="5"/>
      <c r="G74" s="5"/>
      <c r="H74" s="5"/>
      <c r="I74" s="5"/>
      <c r="J74" s="5"/>
      <c r="K74" s="5"/>
      <c r="L74" s="11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31" x14ac:dyDescent="0.25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31" x14ac:dyDescent="0.25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31" x14ac:dyDescent="0.25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31" x14ac:dyDescent="0.25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31" x14ac:dyDescent="0.25"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3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x14ac:dyDescent="0.25">
      <c r="A81" s="5"/>
      <c r="B81" s="5"/>
      <c r="C81" s="5"/>
      <c r="D81" s="5"/>
      <c r="I81" s="8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x14ac:dyDescent="0.25">
      <c r="D82" s="5"/>
    </row>
  </sheetData>
  <phoneticPr fontId="0" type="noConversion"/>
  <pageMargins left="0.79" right="0.97" top="0.3" bottom="0.31" header="0.3" footer="0.28000000000000003"/>
  <pageSetup paperSize="9" scale="97" orientation="landscape" horizontalDpi="4294967293" verticalDpi="300" r:id="rId1"/>
  <headerFooter alignWithMargins="0">
    <oddFooter>&amp;L&amp;P&amp;C&amp;D&amp;R&amp;F&amp;A</oddFooter>
  </headerFooter>
  <rowBreaks count="1" manualBreakCount="1">
    <brk id="32" max="13" man="1"/>
  </rowBreaks>
  <drawing r:id="rId2"/>
  <legacyDrawing r:id="rId3"/>
  <tableParts count="13"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 endagars</vt:lpstr>
      <vt:lpstr>' endagars'!Utskriftsområde</vt:lpstr>
    </vt:vector>
  </TitlesOfParts>
  <Company>BKH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Endagars utfodringskontroll</dc:title>
  <dc:subject>Hjälpmedel i form av Excelprogram för Endagars foderstatskontroll, mjölkkor</dc:subject>
  <dc:creator>Maria  Åkerlind</dc:creator>
  <cp:keywords>Endagars utfodringskontroll Excelprogram Foderstatskontroll</cp:keywords>
  <cp:lastModifiedBy>Dan-Axel Danielsson</cp:lastModifiedBy>
  <cp:lastPrinted>2021-10-04T09:59:27Z</cp:lastPrinted>
  <dcterms:created xsi:type="dcterms:W3CDTF">2000-05-03T19:47:34Z</dcterms:created>
  <dcterms:modified xsi:type="dcterms:W3CDTF">2022-11-17T13:54:17Z</dcterms:modified>
</cp:coreProperties>
</file>