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a98732beb24d5fa7/Dokument/"/>
    </mc:Choice>
  </mc:AlternateContent>
  <xr:revisionPtr revIDLastSave="0" documentId="14_{E102B714-6B33-49DB-BE8F-A70D2EB5AC4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" sheetId="3" r:id="rId1"/>
    <sheet name="TONKM" sheetId="1" r:id="rId2"/>
  </sheets>
  <definedNames>
    <definedName name="OLE_LINK1" localSheetId="0">Info!$A$5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1" l="1"/>
  <c r="L66" i="1"/>
  <c r="L70" i="1" s="1"/>
  <c r="K52" i="1"/>
  <c r="K66" i="1" s="1"/>
  <c r="K70" i="1" s="1"/>
  <c r="J52" i="1"/>
  <c r="J66" i="1"/>
  <c r="J70" i="1" s="1"/>
  <c r="I52" i="1"/>
  <c r="H52" i="1"/>
  <c r="H66" i="1" s="1"/>
  <c r="H70" i="1" s="1"/>
  <c r="G52" i="1"/>
  <c r="G25" i="1" s="1"/>
  <c r="G26" i="1" s="1"/>
  <c r="G27" i="1" s="1"/>
  <c r="G28" i="1" s="1"/>
  <c r="F52" i="1"/>
  <c r="F56" i="1" s="1"/>
  <c r="F66" i="1"/>
  <c r="F70" i="1" s="1"/>
  <c r="E52" i="1"/>
  <c r="E57" i="1" s="1"/>
  <c r="E66" i="1"/>
  <c r="E70" i="1" s="1"/>
  <c r="D52" i="1"/>
  <c r="D66" i="1"/>
  <c r="D70" i="1"/>
  <c r="L65" i="1"/>
  <c r="L69" i="1" s="1"/>
  <c r="J65" i="1"/>
  <c r="J69" i="1"/>
  <c r="I65" i="1"/>
  <c r="I69" i="1" s="1"/>
  <c r="F65" i="1"/>
  <c r="F69" i="1" s="1"/>
  <c r="F41" i="1" s="1"/>
  <c r="E65" i="1"/>
  <c r="D65" i="1"/>
  <c r="L51" i="1"/>
  <c r="L64" i="1" s="1"/>
  <c r="K51" i="1"/>
  <c r="K55" i="1" s="1"/>
  <c r="K59" i="1" s="1"/>
  <c r="J51" i="1"/>
  <c r="J64" i="1"/>
  <c r="J68" i="1" s="1"/>
  <c r="I51" i="1"/>
  <c r="I55" i="1" s="1"/>
  <c r="I32" i="1" s="1"/>
  <c r="I64" i="1"/>
  <c r="I68" i="1" s="1"/>
  <c r="I40" i="1" s="1"/>
  <c r="H51" i="1"/>
  <c r="G51" i="1"/>
  <c r="G64" i="1"/>
  <c r="G68" i="1" s="1"/>
  <c r="F51" i="1"/>
  <c r="F64" i="1" s="1"/>
  <c r="E51" i="1"/>
  <c r="E55" i="1" s="1"/>
  <c r="D51" i="1"/>
  <c r="D64" i="1" s="1"/>
  <c r="D68" i="1" s="1"/>
  <c r="L50" i="1"/>
  <c r="L63" i="1"/>
  <c r="K50" i="1"/>
  <c r="K23" i="1" s="1"/>
  <c r="J50" i="1"/>
  <c r="J63" i="1" s="1"/>
  <c r="I50" i="1"/>
  <c r="I63" i="1"/>
  <c r="I67" i="1" s="1"/>
  <c r="H50" i="1"/>
  <c r="H54" i="1" s="1"/>
  <c r="H31" i="1" s="1"/>
  <c r="G50" i="1"/>
  <c r="G63" i="1"/>
  <c r="F50" i="1"/>
  <c r="F54" i="1" s="1"/>
  <c r="F63" i="1"/>
  <c r="E50" i="1"/>
  <c r="E63" i="1"/>
  <c r="D50" i="1"/>
  <c r="D63" i="1" s="1"/>
  <c r="D67" i="1" s="1"/>
  <c r="D39" i="1" s="1"/>
  <c r="D42" i="1" s="1"/>
  <c r="D43" i="1" s="1"/>
  <c r="D44" i="1" s="1"/>
  <c r="L57" i="1"/>
  <c r="L61" i="1" s="1"/>
  <c r="J57" i="1"/>
  <c r="J61" i="1"/>
  <c r="I57" i="1"/>
  <c r="I61" i="1" s="1"/>
  <c r="F57" i="1"/>
  <c r="F61" i="1"/>
  <c r="E61" i="1"/>
  <c r="D57" i="1"/>
  <c r="D61" i="1" s="1"/>
  <c r="L56" i="1"/>
  <c r="L60" i="1"/>
  <c r="J56" i="1"/>
  <c r="J60" i="1" s="1"/>
  <c r="G56" i="1"/>
  <c r="G60" i="1" s="1"/>
  <c r="F60" i="1"/>
  <c r="F33" i="1" s="1"/>
  <c r="E56" i="1"/>
  <c r="E60" i="1" s="1"/>
  <c r="D56" i="1"/>
  <c r="D60" i="1"/>
  <c r="D33" i="1" s="1"/>
  <c r="L55" i="1"/>
  <c r="L59" i="1" s="1"/>
  <c r="J55" i="1"/>
  <c r="J59" i="1" s="1"/>
  <c r="I59" i="1"/>
  <c r="H55" i="1"/>
  <c r="G55" i="1"/>
  <c r="G59" i="1" s="1"/>
  <c r="F55" i="1"/>
  <c r="F59" i="1" s="1"/>
  <c r="D55" i="1"/>
  <c r="L54" i="1"/>
  <c r="L58" i="1"/>
  <c r="K54" i="1"/>
  <c r="I54" i="1"/>
  <c r="I58" i="1" s="1"/>
  <c r="I31" i="1" s="1"/>
  <c r="H58" i="1"/>
  <c r="G54" i="1"/>
  <c r="G58" i="1" s="1"/>
  <c r="E54" i="1"/>
  <c r="E58" i="1"/>
  <c r="E31" i="1" s="1"/>
  <c r="D54" i="1"/>
  <c r="D58" i="1"/>
  <c r="B50" i="1"/>
  <c r="B23" i="1"/>
  <c r="C50" i="1"/>
  <c r="C23" i="1" s="1"/>
  <c r="D23" i="1"/>
  <c r="D26" i="1" s="1"/>
  <c r="D27" i="1" s="1"/>
  <c r="D28" i="1" s="1"/>
  <c r="E23" i="1"/>
  <c r="G23" i="1"/>
  <c r="I23" i="1"/>
  <c r="L23" i="1"/>
  <c r="B51" i="1"/>
  <c r="B24" i="1" s="1"/>
  <c r="C51" i="1"/>
  <c r="C64" i="1" s="1"/>
  <c r="D24" i="1"/>
  <c r="G24" i="1"/>
  <c r="I24" i="1"/>
  <c r="L24" i="1"/>
  <c r="L26" i="1" s="1"/>
  <c r="L27" i="1" s="1"/>
  <c r="L28" i="1" s="1"/>
  <c r="B52" i="1"/>
  <c r="D25" i="1"/>
  <c r="E25" i="1"/>
  <c r="F25" i="1"/>
  <c r="H25" i="1"/>
  <c r="J25" i="1"/>
  <c r="L25" i="1"/>
  <c r="C54" i="1"/>
  <c r="C58" i="1" s="1"/>
  <c r="B55" i="1"/>
  <c r="J32" i="1"/>
  <c r="C52" i="1"/>
  <c r="C56" i="1" s="1"/>
  <c r="C63" i="1"/>
  <c r="C67" i="1"/>
  <c r="C71" i="1"/>
  <c r="C74" i="1"/>
  <c r="B64" i="1"/>
  <c r="B68" i="1"/>
  <c r="B65" i="1"/>
  <c r="B69" i="1" s="1"/>
  <c r="J41" i="1"/>
  <c r="M50" i="1"/>
  <c r="M54" i="1"/>
  <c r="M58" i="1" s="1"/>
  <c r="M51" i="1"/>
  <c r="M64" i="1" s="1"/>
  <c r="M68" i="1"/>
  <c r="M52" i="1"/>
  <c r="M65" i="1" s="1"/>
  <c r="M69" i="1" s="1"/>
  <c r="M63" i="1"/>
  <c r="M67" i="1" s="1"/>
  <c r="L32" i="1"/>
  <c r="F67" i="1"/>
  <c r="F39" i="1"/>
  <c r="D69" i="1"/>
  <c r="D41" i="1"/>
  <c r="L41" i="1"/>
  <c r="F23" i="1"/>
  <c r="F26" i="1" s="1"/>
  <c r="F27" i="1" s="1"/>
  <c r="F28" i="1" s="1"/>
  <c r="B57" i="1"/>
  <c r="B61" i="1" s="1"/>
  <c r="J24" i="1"/>
  <c r="F24" i="1"/>
  <c r="G31" i="1"/>
  <c r="D59" i="1"/>
  <c r="D32" i="1" s="1"/>
  <c r="G67" i="1"/>
  <c r="K25" i="1"/>
  <c r="K57" i="1"/>
  <c r="K61" i="1" s="1"/>
  <c r="M55" i="1"/>
  <c r="M59" i="1" s="1"/>
  <c r="B41" i="1"/>
  <c r="B63" i="1"/>
  <c r="B59" i="1"/>
  <c r="B54" i="1"/>
  <c r="B31" i="1" s="1"/>
  <c r="K58" i="1"/>
  <c r="K31" i="1" s="1"/>
  <c r="H59" i="1"/>
  <c r="D40" i="1"/>
  <c r="F58" i="1"/>
  <c r="F31" i="1" s="1"/>
  <c r="B58" i="1"/>
  <c r="B67" i="1"/>
  <c r="B39" i="1"/>
  <c r="F68" i="1" l="1"/>
  <c r="F40" i="1" s="1"/>
  <c r="F42" i="1" s="1"/>
  <c r="F43" i="1" s="1"/>
  <c r="F44" i="1" s="1"/>
  <c r="C68" i="1"/>
  <c r="C40" i="1"/>
  <c r="L68" i="1"/>
  <c r="L40" i="1"/>
  <c r="C60" i="1"/>
  <c r="C33" i="1"/>
  <c r="E59" i="1"/>
  <c r="E32" i="1"/>
  <c r="E34" i="1" s="1"/>
  <c r="E35" i="1" s="1"/>
  <c r="E36" i="1" s="1"/>
  <c r="E39" i="1"/>
  <c r="I66" i="1"/>
  <c r="I70" i="1" s="1"/>
  <c r="I25" i="1"/>
  <c r="I26" i="1" s="1"/>
  <c r="I27" i="1" s="1"/>
  <c r="I28" i="1" s="1"/>
  <c r="G66" i="1"/>
  <c r="G70" i="1" s="1"/>
  <c r="F32" i="1"/>
  <c r="F34" i="1" s="1"/>
  <c r="F35" i="1" s="1"/>
  <c r="F36" i="1" s="1"/>
  <c r="C72" i="1"/>
  <c r="C75" i="1" s="1"/>
  <c r="K65" i="1"/>
  <c r="E64" i="1"/>
  <c r="M56" i="1"/>
  <c r="M60" i="1" s="1"/>
  <c r="J40" i="1"/>
  <c r="C39" i="1"/>
  <c r="K24" i="1"/>
  <c r="K26" i="1" s="1"/>
  <c r="K27" i="1" s="1"/>
  <c r="K28" i="1" s="1"/>
  <c r="H23" i="1"/>
  <c r="M23" i="1" s="1"/>
  <c r="L31" i="1"/>
  <c r="G32" i="1"/>
  <c r="K56" i="1"/>
  <c r="K63" i="1"/>
  <c r="B32" i="1"/>
  <c r="G39" i="1"/>
  <c r="E69" i="1"/>
  <c r="E41" i="1"/>
  <c r="G57" i="1"/>
  <c r="G61" i="1" s="1"/>
  <c r="E33" i="1"/>
  <c r="J23" i="1"/>
  <c r="J26" i="1" s="1"/>
  <c r="J27" i="1" s="1"/>
  <c r="J28" i="1" s="1"/>
  <c r="J67" i="1"/>
  <c r="J39" i="1" s="1"/>
  <c r="J42" i="1" s="1"/>
  <c r="J43" i="1" s="1"/>
  <c r="J44" i="1" s="1"/>
  <c r="I41" i="1"/>
  <c r="C65" i="1"/>
  <c r="J33" i="1"/>
  <c r="C31" i="1"/>
  <c r="E24" i="1"/>
  <c r="E26" i="1" s="1"/>
  <c r="E27" i="1" s="1"/>
  <c r="E28" i="1" s="1"/>
  <c r="K32" i="1"/>
  <c r="I56" i="1"/>
  <c r="L33" i="1"/>
  <c r="I39" i="1"/>
  <c r="I42" i="1" s="1"/>
  <c r="I43" i="1" s="1"/>
  <c r="I44" i="1" s="1"/>
  <c r="H65" i="1"/>
  <c r="H57" i="1"/>
  <c r="H61" i="1" s="1"/>
  <c r="H56" i="1"/>
  <c r="C55" i="1"/>
  <c r="C24" i="1"/>
  <c r="C26" i="1" s="1"/>
  <c r="C27" i="1" s="1"/>
  <c r="C28" i="1" s="1"/>
  <c r="G65" i="1"/>
  <c r="J54" i="1"/>
  <c r="B40" i="1"/>
  <c r="B56" i="1"/>
  <c r="B66" i="1"/>
  <c r="B70" i="1" s="1"/>
  <c r="B25" i="1"/>
  <c r="M25" i="1" s="1"/>
  <c r="D31" i="1"/>
  <c r="D34" i="1" s="1"/>
  <c r="D35" i="1" s="1"/>
  <c r="D36" i="1" s="1"/>
  <c r="H32" i="1"/>
  <c r="E67" i="1"/>
  <c r="H63" i="1"/>
  <c r="L67" i="1"/>
  <c r="L39" i="1" s="1"/>
  <c r="L42" i="1" s="1"/>
  <c r="L43" i="1" s="1"/>
  <c r="L44" i="1" s="1"/>
  <c r="G40" i="1"/>
  <c r="H64" i="1"/>
  <c r="H24" i="1"/>
  <c r="K64" i="1"/>
  <c r="K68" i="1" l="1"/>
  <c r="K40" i="1" s="1"/>
  <c r="G34" i="1"/>
  <c r="G35" i="1" s="1"/>
  <c r="G36" i="1" s="1"/>
  <c r="K69" i="1"/>
  <c r="K41" i="1"/>
  <c r="M24" i="1"/>
  <c r="G33" i="1"/>
  <c r="H69" i="1"/>
  <c r="H41" i="1"/>
  <c r="H67" i="1"/>
  <c r="H39" i="1"/>
  <c r="C59" i="1"/>
  <c r="C32" i="1"/>
  <c r="C34" i="1" s="1"/>
  <c r="C35" i="1" s="1"/>
  <c r="C36" i="1" s="1"/>
  <c r="G69" i="1"/>
  <c r="G41" i="1" s="1"/>
  <c r="G42" i="1" s="1"/>
  <c r="G43" i="1" s="1"/>
  <c r="G44" i="1" s="1"/>
  <c r="H60" i="1"/>
  <c r="H33" i="1" s="1"/>
  <c r="H34" i="1" s="1"/>
  <c r="H35" i="1" s="1"/>
  <c r="H36" i="1" s="1"/>
  <c r="L34" i="1"/>
  <c r="L35" i="1" s="1"/>
  <c r="L36" i="1" s="1"/>
  <c r="B42" i="1"/>
  <c r="C69" i="1"/>
  <c r="C41" i="1" s="1"/>
  <c r="K60" i="1"/>
  <c r="K33" i="1"/>
  <c r="K34" i="1" s="1"/>
  <c r="K35" i="1" s="1"/>
  <c r="K36" i="1" s="1"/>
  <c r="E68" i="1"/>
  <c r="E40" i="1" s="1"/>
  <c r="J58" i="1"/>
  <c r="J31" i="1"/>
  <c r="J34" i="1" s="1"/>
  <c r="J35" i="1" s="1"/>
  <c r="J36" i="1" s="1"/>
  <c r="H68" i="1"/>
  <c r="H40" i="1" s="1"/>
  <c r="B60" i="1"/>
  <c r="B33" i="1"/>
  <c r="B26" i="1"/>
  <c r="I60" i="1"/>
  <c r="I33" i="1"/>
  <c r="I34" i="1" s="1"/>
  <c r="I35" i="1" s="1"/>
  <c r="I36" i="1" s="1"/>
  <c r="K67" i="1"/>
  <c r="K39" i="1" s="1"/>
  <c r="H26" i="1"/>
  <c r="H27" i="1" s="1"/>
  <c r="H28" i="1" s="1"/>
  <c r="M40" i="1" l="1"/>
  <c r="E42" i="1"/>
  <c r="E43" i="1" s="1"/>
  <c r="E44" i="1" s="1"/>
  <c r="K42" i="1"/>
  <c r="K43" i="1" s="1"/>
  <c r="K44" i="1" s="1"/>
  <c r="M39" i="1"/>
  <c r="M41" i="1"/>
  <c r="C42" i="1"/>
  <c r="C43" i="1" s="1"/>
  <c r="C44" i="1" s="1"/>
  <c r="B43" i="1"/>
  <c r="M31" i="1"/>
  <c r="H42" i="1"/>
  <c r="H43" i="1" s="1"/>
  <c r="H44" i="1" s="1"/>
  <c r="M33" i="1"/>
  <c r="B34" i="1"/>
  <c r="M32" i="1"/>
  <c r="B27" i="1"/>
  <c r="M26" i="1"/>
  <c r="B35" i="1" l="1"/>
  <c r="B36" i="1" s="1"/>
  <c r="M34" i="1"/>
  <c r="M35" i="1" s="1"/>
  <c r="M36" i="1" s="1"/>
  <c r="M27" i="1"/>
  <c r="M28" i="1" s="1"/>
  <c r="B28" i="1"/>
  <c r="M43" i="1"/>
  <c r="M44" i="1" s="1"/>
  <c r="B44" i="1"/>
  <c r="M42" i="1"/>
</calcChain>
</file>

<file path=xl/sharedStrings.xml><?xml version="1.0" encoding="utf-8"?>
<sst xmlns="http://schemas.openxmlformats.org/spreadsheetml/2006/main" count="68" uniqueCount="51">
  <si>
    <t>Växtföljd</t>
  </si>
  <si>
    <t>Utan vall</t>
  </si>
  <si>
    <t>Skörd, kr/ha:</t>
  </si>
  <si>
    <t>Antal ha:</t>
  </si>
  <si>
    <t>Gröda</t>
  </si>
  <si>
    <t>Vårrybs</t>
  </si>
  <si>
    <t>Stubbearb.</t>
  </si>
  <si>
    <t>Plöjning</t>
  </si>
  <si>
    <t>Harvning</t>
  </si>
  <si>
    <t>Sådd</t>
  </si>
  <si>
    <t>H-gödsel</t>
  </si>
  <si>
    <t>Vältning</t>
  </si>
  <si>
    <t>Sprutning</t>
  </si>
  <si>
    <t>Skörd</t>
  </si>
  <si>
    <t>Rötr. flyt</t>
  </si>
  <si>
    <t>Rötr. fast</t>
  </si>
  <si>
    <t>Övrigt</t>
  </si>
  <si>
    <t>Summa</t>
  </si>
  <si>
    <t>Antal körningar</t>
  </si>
  <si>
    <t>Arbetsbredd</t>
  </si>
  <si>
    <t>Körsträckefaktor</t>
  </si>
  <si>
    <t>Lerhalt</t>
  </si>
  <si>
    <t>Vattenhalt matjord</t>
  </si>
  <si>
    <t>Vattenhalt alv</t>
  </si>
  <si>
    <t>Vikt traktor fram</t>
  </si>
  <si>
    <t>Vikt traktor bak</t>
  </si>
  <si>
    <t>Ringtryck fram</t>
  </si>
  <si>
    <t>Ringtryck bak</t>
  </si>
  <si>
    <t>Däcksbredd fram, cm</t>
  </si>
  <si>
    <t>Däcksbredd bak</t>
  </si>
  <si>
    <t>Vikt full vagn</t>
  </si>
  <si>
    <t>Vikt tom vagn</t>
  </si>
  <si>
    <t xml:space="preserve">Ringtryck </t>
  </si>
  <si>
    <t>Antal axlar</t>
  </si>
  <si>
    <t>Viktöverf. till traktor</t>
  </si>
  <si>
    <t>Matjord</t>
  </si>
  <si>
    <t>Framhjul, Mgkm</t>
  </si>
  <si>
    <t>Bakhjul, Mgkm</t>
  </si>
  <si>
    <t>Vagn, Mgkm</t>
  </si>
  <si>
    <t>Totalt, Mgkm</t>
  </si>
  <si>
    <t>Förlust, %</t>
  </si>
  <si>
    <t>Förlust, kr</t>
  </si>
  <si>
    <t>25-40 cm</t>
  </si>
  <si>
    <t>&gt;40 cm</t>
  </si>
  <si>
    <t>Förlust, promille/år</t>
  </si>
  <si>
    <t>Förlust, kr/50 år</t>
  </si>
  <si>
    <t xml:space="preserve">log ringtryck </t>
  </si>
  <si>
    <t>omr 25-40</t>
  </si>
  <si>
    <t>villkor&gt;0</t>
  </si>
  <si>
    <t>omr &gt;40 framhjul</t>
  </si>
  <si>
    <t>Tonkm- ett program för att räkna ut körintensitet och skördeförluster av jordpackning i ettåriga grödor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</si>
</sst>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\ ;\(\$#,##0\)"/>
    <numFmt numFmtId="165" formatCode="0.0"/>
  </numFmts>
  <fonts count="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8"/>
      <name val="Arial"/>
    </font>
    <font>
      <sz val="14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1" applyNumberFormat="0" applyFont="0" applyFill="0" applyAlignment="0" applyProtection="0"/>
  </cellStyleXfs>
  <cellXfs count="7">
    <xf numFmtId="165" fontId="0" fillId="0" borderId="0" xfId="0" applyNumberFormat="1"/>
    <xf numFmtId="165" fontId="0" fillId="0" borderId="2" xfId="0" applyNumberFormat="1" applyBorder="1" applyAlignment="1">
      <alignment horizontal="right"/>
    </xf>
    <xf numFmtId="165" fontId="0" fillId="0" borderId="2" xfId="0" applyNumberFormat="1" applyBorder="1"/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wrapText="1"/>
    </xf>
    <xf numFmtId="165" fontId="4" fillId="2" borderId="0" xfId="0" applyNumberFormat="1" applyFont="1" applyFill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xr:uid="{00000000-0005-0000-0000-000004000000}"/>
    <cellStyle name="Heading 2" xfId="6" xr:uid="{00000000-0005-0000-0000-000005000000}"/>
    <cellStyle name="Normal" xfId="0" builtinId="0"/>
    <cellStyle name="Total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6032500</xdr:colOff>
          <xdr:row>58</xdr:row>
          <xdr:rowOff>6350</xdr:rowOff>
        </xdr:to>
        <xdr:sp macro="" textlink="">
          <xdr:nvSpPr>
            <xdr:cNvPr id="1025" name="Object 1" descr="Bakgrund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tabSelected="1" workbookViewId="0">
      <selection activeCell="A68" sqref="A68"/>
    </sheetView>
  </sheetViews>
  <sheetFormatPr defaultRowHeight="12.5" x14ac:dyDescent="0.25"/>
  <cols>
    <col min="1" max="1" width="122.26953125" customWidth="1"/>
  </cols>
  <sheetData>
    <row r="1" spans="1:1" ht="17.5" x14ac:dyDescent="0.35">
      <c r="A1" s="6" t="s">
        <v>50</v>
      </c>
    </row>
    <row r="5" spans="1:1" x14ac:dyDescent="0.25">
      <c r="A5" s="5"/>
    </row>
  </sheetData>
  <phoneticPr fontId="3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Word.Document.8" shapeId="1025" r:id="rId3">
          <objectPr defaultSize="0" altText="Bakgrund" r:id="rId4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6032500</xdr:colOff>
                <xdr:row>58</xdr:row>
                <xdr:rowOff>6350</xdr:rowOff>
              </to>
            </anchor>
          </objectPr>
        </oleObject>
      </mc:Choice>
      <mc:Fallback>
        <oleObject progId="Word.Document.8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5"/>
  <sheetViews>
    <sheetView workbookViewId="0">
      <selection activeCell="B21" sqref="B21"/>
    </sheetView>
  </sheetViews>
  <sheetFormatPr defaultColWidth="13.7265625" defaultRowHeight="12.5" x14ac:dyDescent="0.25"/>
  <cols>
    <col min="1" max="1" width="22.453125" customWidth="1"/>
    <col min="2" max="5" width="13.7265625" customWidth="1"/>
    <col min="6" max="6" width="12.7265625" customWidth="1"/>
    <col min="7" max="9" width="13.7265625" customWidth="1"/>
    <col min="10" max="10" width="12.7265625" customWidth="1"/>
  </cols>
  <sheetData>
    <row r="1" spans="1:13" x14ac:dyDescent="0.25">
      <c r="A1" t="s">
        <v>0</v>
      </c>
      <c r="B1" t="s">
        <v>1</v>
      </c>
      <c r="D1" t="s">
        <v>2</v>
      </c>
      <c r="E1">
        <v>6000</v>
      </c>
      <c r="F1" s="3" t="s">
        <v>3</v>
      </c>
      <c r="G1" s="4">
        <v>1</v>
      </c>
    </row>
    <row r="2" spans="1:13" x14ac:dyDescent="0.25">
      <c r="A2" s="2" t="s">
        <v>4</v>
      </c>
      <c r="B2" s="2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</row>
    <row r="4" spans="1:13" x14ac:dyDescent="0.25">
      <c r="A4" t="s">
        <v>18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3" x14ac:dyDescent="0.25">
      <c r="A5" t="s">
        <v>19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3" x14ac:dyDescent="0.25">
      <c r="A6" t="s">
        <v>20</v>
      </c>
      <c r="B6">
        <v>1.3</v>
      </c>
      <c r="C6">
        <v>1.3</v>
      </c>
      <c r="D6">
        <v>1.3</v>
      </c>
      <c r="E6">
        <v>1.3</v>
      </c>
      <c r="F6">
        <v>1.3</v>
      </c>
      <c r="G6">
        <v>1.3</v>
      </c>
      <c r="H6">
        <v>1.3</v>
      </c>
      <c r="I6">
        <v>1.3</v>
      </c>
      <c r="J6">
        <v>2.5</v>
      </c>
      <c r="K6">
        <v>2.5</v>
      </c>
      <c r="L6">
        <v>1.3</v>
      </c>
    </row>
    <row r="7" spans="1:13" x14ac:dyDescent="0.25">
      <c r="A7" t="s">
        <v>21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L7">
        <v>20</v>
      </c>
    </row>
    <row r="8" spans="1:13" x14ac:dyDescent="0.25">
      <c r="A8" t="s">
        <v>22</v>
      </c>
      <c r="B8">
        <v>3.3</v>
      </c>
      <c r="C8">
        <v>3.6</v>
      </c>
      <c r="D8">
        <v>3.6</v>
      </c>
      <c r="E8">
        <v>3.5</v>
      </c>
      <c r="F8">
        <v>3.5</v>
      </c>
      <c r="G8">
        <v>3.4</v>
      </c>
      <c r="H8">
        <v>3</v>
      </c>
      <c r="I8">
        <v>3</v>
      </c>
      <c r="J8">
        <v>3.5</v>
      </c>
      <c r="K8">
        <v>3.5</v>
      </c>
      <c r="L8">
        <v>3</v>
      </c>
    </row>
    <row r="9" spans="1:13" x14ac:dyDescent="0.25">
      <c r="A9" t="s">
        <v>23</v>
      </c>
      <c r="B9">
        <v>3</v>
      </c>
      <c r="C9">
        <v>3</v>
      </c>
      <c r="D9">
        <v>4</v>
      </c>
      <c r="E9">
        <v>4</v>
      </c>
      <c r="F9">
        <v>4</v>
      </c>
      <c r="G9">
        <v>4</v>
      </c>
      <c r="H9">
        <v>3</v>
      </c>
      <c r="I9">
        <v>3</v>
      </c>
      <c r="J9">
        <v>3.5</v>
      </c>
      <c r="K9">
        <v>3.5</v>
      </c>
      <c r="L9">
        <v>3</v>
      </c>
    </row>
    <row r="10" spans="1:13" x14ac:dyDescent="0.25">
      <c r="A10" t="s">
        <v>24</v>
      </c>
      <c r="B10">
        <v>2000</v>
      </c>
      <c r="C10">
        <v>2000</v>
      </c>
      <c r="D10">
        <v>2000</v>
      </c>
      <c r="E10">
        <v>1800</v>
      </c>
      <c r="F10">
        <v>1800</v>
      </c>
      <c r="G10">
        <v>1800</v>
      </c>
      <c r="H10">
        <v>1000</v>
      </c>
      <c r="I10">
        <v>6300</v>
      </c>
      <c r="J10">
        <v>2000</v>
      </c>
      <c r="K10">
        <v>2000</v>
      </c>
      <c r="L10">
        <v>0</v>
      </c>
    </row>
    <row r="11" spans="1:13" x14ac:dyDescent="0.25">
      <c r="A11" t="s">
        <v>25</v>
      </c>
      <c r="B11">
        <v>3200</v>
      </c>
      <c r="C11">
        <v>3200</v>
      </c>
      <c r="D11">
        <v>3200</v>
      </c>
      <c r="E11">
        <v>2200</v>
      </c>
      <c r="F11">
        <v>2200</v>
      </c>
      <c r="G11">
        <v>2200</v>
      </c>
      <c r="H11">
        <v>1820</v>
      </c>
      <c r="I11">
        <v>1800</v>
      </c>
      <c r="J11">
        <v>3200</v>
      </c>
      <c r="K11">
        <v>3200</v>
      </c>
      <c r="L11">
        <v>0</v>
      </c>
    </row>
    <row r="12" spans="1:13" x14ac:dyDescent="0.25">
      <c r="A12" t="s">
        <v>26</v>
      </c>
      <c r="B12">
        <v>80</v>
      </c>
      <c r="C12">
        <v>80</v>
      </c>
      <c r="D12">
        <v>80</v>
      </c>
      <c r="E12">
        <v>60</v>
      </c>
      <c r="F12">
        <v>60</v>
      </c>
      <c r="G12">
        <v>60</v>
      </c>
      <c r="H12">
        <v>60</v>
      </c>
      <c r="I12">
        <v>160</v>
      </c>
      <c r="J12">
        <v>80</v>
      </c>
      <c r="K12">
        <v>80</v>
      </c>
      <c r="L12">
        <v>150</v>
      </c>
    </row>
    <row r="13" spans="1:13" x14ac:dyDescent="0.25">
      <c r="A13" t="s">
        <v>27</v>
      </c>
      <c r="B13">
        <v>80</v>
      </c>
      <c r="C13">
        <v>80</v>
      </c>
      <c r="D13">
        <v>80</v>
      </c>
      <c r="E13">
        <v>60</v>
      </c>
      <c r="F13">
        <v>60</v>
      </c>
      <c r="G13">
        <v>60</v>
      </c>
      <c r="H13">
        <v>80</v>
      </c>
      <c r="I13">
        <v>160</v>
      </c>
      <c r="J13">
        <v>80</v>
      </c>
      <c r="K13">
        <v>80</v>
      </c>
      <c r="L13">
        <v>200</v>
      </c>
    </row>
    <row r="14" spans="1:13" x14ac:dyDescent="0.25">
      <c r="A14" t="s">
        <v>28</v>
      </c>
      <c r="B14">
        <v>43</v>
      </c>
      <c r="C14">
        <v>43</v>
      </c>
      <c r="D14">
        <v>43</v>
      </c>
      <c r="E14">
        <v>35</v>
      </c>
      <c r="F14">
        <v>35</v>
      </c>
      <c r="G14">
        <v>35</v>
      </c>
      <c r="H14">
        <v>25</v>
      </c>
      <c r="I14">
        <v>47</v>
      </c>
      <c r="J14">
        <v>43</v>
      </c>
      <c r="K14">
        <v>43</v>
      </c>
      <c r="L14">
        <v>35</v>
      </c>
    </row>
    <row r="15" spans="1:13" x14ac:dyDescent="0.25">
      <c r="A15" t="s">
        <v>29</v>
      </c>
      <c r="B15">
        <v>53</v>
      </c>
      <c r="C15">
        <v>53</v>
      </c>
      <c r="D15">
        <v>53</v>
      </c>
      <c r="E15">
        <v>45</v>
      </c>
      <c r="F15">
        <v>45</v>
      </c>
      <c r="G15">
        <v>45</v>
      </c>
      <c r="H15">
        <v>43</v>
      </c>
      <c r="I15">
        <v>32</v>
      </c>
      <c r="J15">
        <v>53</v>
      </c>
      <c r="K15">
        <v>53</v>
      </c>
      <c r="L15">
        <v>45</v>
      </c>
    </row>
    <row r="16" spans="1:13" x14ac:dyDescent="0.25">
      <c r="A16" t="s">
        <v>30</v>
      </c>
      <c r="B16">
        <v>0</v>
      </c>
      <c r="C16">
        <v>0</v>
      </c>
      <c r="D16">
        <v>0</v>
      </c>
      <c r="E16">
        <v>1500</v>
      </c>
      <c r="F16">
        <v>2500</v>
      </c>
      <c r="G16">
        <v>0</v>
      </c>
      <c r="H16">
        <v>2000</v>
      </c>
      <c r="I16">
        <v>0</v>
      </c>
      <c r="J16">
        <v>3800</v>
      </c>
      <c r="K16">
        <v>15200</v>
      </c>
      <c r="L16">
        <v>0</v>
      </c>
    </row>
    <row r="17" spans="1:13" x14ac:dyDescent="0.25">
      <c r="A17" t="s">
        <v>31</v>
      </c>
      <c r="B17">
        <v>0</v>
      </c>
      <c r="C17">
        <v>0</v>
      </c>
      <c r="D17">
        <v>0</v>
      </c>
      <c r="E17">
        <v>3500</v>
      </c>
      <c r="F17">
        <v>1500</v>
      </c>
      <c r="G17">
        <v>0</v>
      </c>
      <c r="H17">
        <v>1000</v>
      </c>
      <c r="I17">
        <v>0</v>
      </c>
      <c r="J17">
        <v>13800</v>
      </c>
      <c r="K17">
        <v>3200</v>
      </c>
      <c r="L17">
        <v>0</v>
      </c>
    </row>
    <row r="18" spans="1:13" x14ac:dyDescent="0.25">
      <c r="A18" t="s">
        <v>32</v>
      </c>
      <c r="B18">
        <v>200</v>
      </c>
      <c r="C18">
        <v>200</v>
      </c>
      <c r="D18">
        <v>200</v>
      </c>
      <c r="E18">
        <v>100</v>
      </c>
      <c r="F18">
        <v>100</v>
      </c>
      <c r="G18">
        <v>200</v>
      </c>
      <c r="H18">
        <v>100</v>
      </c>
      <c r="I18">
        <v>200</v>
      </c>
      <c r="J18">
        <v>80</v>
      </c>
      <c r="K18">
        <v>120</v>
      </c>
      <c r="L18">
        <v>200</v>
      </c>
    </row>
    <row r="19" spans="1:13" x14ac:dyDescent="0.25">
      <c r="A19" t="s">
        <v>33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2</v>
      </c>
      <c r="K19">
        <v>2</v>
      </c>
      <c r="L19">
        <v>1</v>
      </c>
    </row>
    <row r="20" spans="1:13" x14ac:dyDescent="0.25">
      <c r="A20" s="2" t="s">
        <v>34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1000</v>
      </c>
      <c r="K20" s="2">
        <v>1000</v>
      </c>
      <c r="L20" s="2">
        <v>0</v>
      </c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 t="s">
        <v>35</v>
      </c>
    </row>
    <row r="23" spans="1:13" x14ac:dyDescent="0.25">
      <c r="A23" t="s">
        <v>36</v>
      </c>
      <c r="B23">
        <f>(B$10/1000*10*B$6/B$5*(B$50-1.2)*(B$8*0.2625-0.056)*B$4)</f>
        <v>14.811645210965779</v>
      </c>
      <c r="C23">
        <f>(C$10/1000*10*(C$6-0.5)/C$5*(C$50-1.2)*(C$8*0.2625-0.056)*C$4)</f>
        <v>0</v>
      </c>
      <c r="D23">
        <f t="shared" ref="D23:L23" si="0">(D$10/1000*10*D$6/D$5*(D$50-1.2)*(D$8*0.2625-0.056)*D$4)</f>
        <v>0</v>
      </c>
      <c r="E23">
        <f t="shared" si="0"/>
        <v>0</v>
      </c>
      <c r="F23">
        <f t="shared" si="0"/>
        <v>0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  <c r="L23">
        <f t="shared" si="0"/>
        <v>0</v>
      </c>
      <c r="M23">
        <f>SUM(B23:L23)</f>
        <v>14.811645210965779</v>
      </c>
    </row>
    <row r="24" spans="1:13" x14ac:dyDescent="0.25">
      <c r="A24" t="s">
        <v>37</v>
      </c>
      <c r="B24">
        <f>((B11+B20)/1000*10*B$6/B$5*(B51-1.2)*(B$8*0.2625-0.056)*B$4)</f>
        <v>23.698632337545245</v>
      </c>
      <c r="C24">
        <f>((C11+C20)/1000*10*(C$6-0.5)/C$5*(C51-1.2)*(C$8*0.2625-0.056)*C$4)</f>
        <v>0</v>
      </c>
      <c r="D24">
        <f t="shared" ref="D24:L24" si="1">((D11+D20)/1000*10*D$6/D$5*(D51-1.2)*(D$8*0.2625-0.056)*D$4)</f>
        <v>0</v>
      </c>
      <c r="E24">
        <f t="shared" si="1"/>
        <v>0</v>
      </c>
      <c r="F24">
        <f t="shared" si="1"/>
        <v>0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>SUM(B24:L24)</f>
        <v>23.698632337545245</v>
      </c>
    </row>
    <row r="25" spans="1:13" x14ac:dyDescent="0.25">
      <c r="A25" t="s">
        <v>38</v>
      </c>
      <c r="B25">
        <f>((B16+B17-2*B20)/2000*10*B$6/B$5*(B52-1.2)*(B$8*0.2625-0.056)*B$4)</f>
        <v>0</v>
      </c>
      <c r="C25">
        <v>0</v>
      </c>
      <c r="D25">
        <f t="shared" ref="D25:L25" si="2">((D16+D17-2*D20)/2000*10*D$6/D$5*(D52-1.2)*(D$8*0.2625-0.056)*D$4)</f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>SUM(B25:L25)</f>
        <v>0</v>
      </c>
    </row>
    <row r="26" spans="1:13" x14ac:dyDescent="0.25">
      <c r="A26" t="s">
        <v>39</v>
      </c>
      <c r="B26">
        <f t="shared" ref="B26:L26" si="3">B23+B24+B25</f>
        <v>38.510277548511027</v>
      </c>
      <c r="C26">
        <f t="shared" si="3"/>
        <v>0</v>
      </c>
      <c r="D26">
        <f t="shared" si="3"/>
        <v>0</v>
      </c>
      <c r="E26">
        <f t="shared" si="3"/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>SUM(B26:L26)</f>
        <v>38.510277548511027</v>
      </c>
    </row>
    <row r="27" spans="1:13" x14ac:dyDescent="0.25">
      <c r="A27" t="s">
        <v>40</v>
      </c>
      <c r="B27">
        <f t="shared" ref="B27:L27" si="4">B26*B$7*0.00154</f>
        <v>1.1861165484941396</v>
      </c>
      <c r="C27">
        <f t="shared" si="4"/>
        <v>0</v>
      </c>
      <c r="D27">
        <f t="shared" si="4"/>
        <v>0</v>
      </c>
      <c r="E27">
        <f t="shared" si="4"/>
        <v>0</v>
      </c>
      <c r="F27">
        <f t="shared" si="4"/>
        <v>0</v>
      </c>
      <c r="G27">
        <f t="shared" si="4"/>
        <v>0</v>
      </c>
      <c r="H27">
        <f t="shared" si="4"/>
        <v>0</v>
      </c>
      <c r="I27">
        <f t="shared" si="4"/>
        <v>0</v>
      </c>
      <c r="J27">
        <f t="shared" si="4"/>
        <v>0</v>
      </c>
      <c r="K27">
        <f t="shared" si="4"/>
        <v>0</v>
      </c>
      <c r="L27">
        <f t="shared" si="4"/>
        <v>0</v>
      </c>
      <c r="M27">
        <f>SUM(B27:L27)</f>
        <v>1.1861165484941396</v>
      </c>
    </row>
    <row r="28" spans="1:13" x14ac:dyDescent="0.25">
      <c r="A28" s="2" t="s">
        <v>41</v>
      </c>
      <c r="B28" s="2">
        <f t="shared" ref="B28:M28" si="5">$E$1*$G$1*B27/100</f>
        <v>71.166992909648386</v>
      </c>
      <c r="C28" s="2">
        <f t="shared" si="5"/>
        <v>0</v>
      </c>
      <c r="D28" s="2">
        <f t="shared" si="5"/>
        <v>0</v>
      </c>
      <c r="E28" s="2">
        <f t="shared" si="5"/>
        <v>0</v>
      </c>
      <c r="F28" s="2">
        <f t="shared" si="5"/>
        <v>0</v>
      </c>
      <c r="G28" s="2">
        <f t="shared" si="5"/>
        <v>0</v>
      </c>
      <c r="H28" s="2">
        <f t="shared" si="5"/>
        <v>0</v>
      </c>
      <c r="I28" s="2">
        <f t="shared" si="5"/>
        <v>0</v>
      </c>
      <c r="J28" s="2">
        <f t="shared" si="5"/>
        <v>0</v>
      </c>
      <c r="K28" s="2">
        <f t="shared" si="5"/>
        <v>0</v>
      </c>
      <c r="L28" s="2">
        <f t="shared" si="5"/>
        <v>0</v>
      </c>
      <c r="M28" s="2">
        <f t="shared" si="5"/>
        <v>71.166992909648386</v>
      </c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 t="s">
        <v>42</v>
      </c>
    </row>
    <row r="31" spans="1:13" x14ac:dyDescent="0.25">
      <c r="A31" t="s">
        <v>36</v>
      </c>
      <c r="B31">
        <f>B54*B58*10*B$4*B$6/B$5</f>
        <v>0</v>
      </c>
      <c r="C31">
        <f>C54*C58*10*C$4*C$6/C$5+(0.5*C$4*(C10)/1000*(C50-0.53)*(C$9-2)*0.326*10/C$5)</f>
        <v>0</v>
      </c>
      <c r="D31">
        <f t="shared" ref="D31:L31" si="6">D54*D58*10*D$4*D$6/D$5</f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>SUM(B31:L31)</f>
        <v>0</v>
      </c>
    </row>
    <row r="32" spans="1:13" x14ac:dyDescent="0.25">
      <c r="A32" t="s">
        <v>37</v>
      </c>
      <c r="B32">
        <f>B55*B59*10*B$4*B$6/B$5</f>
        <v>0</v>
      </c>
      <c r="C32">
        <f>C55*C59*10*C$4*C$6/C$5+(0.5*C$4*(C11)/1000*(C51-0.53)*(C$9-2)*0.326)*10/C$5</f>
        <v>0</v>
      </c>
      <c r="D32">
        <f t="shared" ref="D32:L32" si="7">D55*D59*10*D$4*D$6/D$5</f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>SUM(B32:L32)</f>
        <v>0</v>
      </c>
    </row>
    <row r="33" spans="1:13" x14ac:dyDescent="0.25">
      <c r="A33" t="s">
        <v>38</v>
      </c>
      <c r="B33">
        <f>0.5*B56*B60*10*B$4*B$6/B$5+0.5*B57*B61*10*B$4*B$6/B$5</f>
        <v>0</v>
      </c>
      <c r="C33">
        <f>C56*C60*10*C$4*C$6/C$5</f>
        <v>0</v>
      </c>
      <c r="D33">
        <f t="shared" ref="D33:L33" si="8">0.5*D56*D60*10*D$4*D$6/D$5+0.5*D57*D61*10*D$4*D$6/D$5</f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>SUM(B33:L33)</f>
        <v>0</v>
      </c>
    </row>
    <row r="34" spans="1:13" x14ac:dyDescent="0.25">
      <c r="A34" t="s">
        <v>39</v>
      </c>
      <c r="B34">
        <f t="shared" ref="B34:L34" si="9">B31+B32+B33</f>
        <v>0</v>
      </c>
      <c r="C34">
        <f t="shared" si="9"/>
        <v>0</v>
      </c>
      <c r="D34">
        <f t="shared" si="9"/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>SUM(B34:L34)</f>
        <v>0</v>
      </c>
    </row>
    <row r="35" spans="1:13" x14ac:dyDescent="0.25">
      <c r="A35" t="s">
        <v>40</v>
      </c>
      <c r="B35">
        <f t="shared" ref="B35:M35" si="10">B34/40</f>
        <v>0</v>
      </c>
      <c r="C35">
        <f t="shared" si="10"/>
        <v>0</v>
      </c>
      <c r="D35">
        <f t="shared" si="10"/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</row>
    <row r="36" spans="1:13" x14ac:dyDescent="0.25">
      <c r="A36" s="2" t="s">
        <v>41</v>
      </c>
      <c r="B36" s="2">
        <f t="shared" ref="B36:M36" si="11">$E$1*$G$1*B35/100</f>
        <v>0</v>
      </c>
      <c r="C36" s="2">
        <f t="shared" si="11"/>
        <v>0</v>
      </c>
      <c r="D36" s="2">
        <f t="shared" si="11"/>
        <v>0</v>
      </c>
      <c r="E36" s="2">
        <f t="shared" si="11"/>
        <v>0</v>
      </c>
      <c r="F36" s="2">
        <f t="shared" si="11"/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2">
        <f t="shared" si="11"/>
        <v>0</v>
      </c>
      <c r="L36" s="2">
        <f t="shared" si="11"/>
        <v>0</v>
      </c>
      <c r="M36" s="2">
        <f t="shared" si="11"/>
        <v>0</v>
      </c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 t="s">
        <v>43</v>
      </c>
    </row>
    <row r="39" spans="1:13" x14ac:dyDescent="0.25">
      <c r="A39" t="s">
        <v>36</v>
      </c>
      <c r="B39">
        <f>B63*B67*10*B$4*B$6/B$5</f>
        <v>0</v>
      </c>
      <c r="C39">
        <f>C63*C67*10*C$4*(C$6-0.5)/C$5+C71*C74*10*C$4*(0.5)/C$5</f>
        <v>0</v>
      </c>
      <c r="D39">
        <f t="shared" ref="D39:L39" si="12">D63*D67*10*D$4*D$6/D$5</f>
        <v>0</v>
      </c>
      <c r="E39">
        <f t="shared" si="12"/>
        <v>0</v>
      </c>
      <c r="F39">
        <f t="shared" si="12"/>
        <v>0</v>
      </c>
      <c r="G39">
        <f t="shared" si="12"/>
        <v>0</v>
      </c>
      <c r="H39">
        <f t="shared" si="12"/>
        <v>0</v>
      </c>
      <c r="I39">
        <f t="shared" si="12"/>
        <v>0</v>
      </c>
      <c r="J39">
        <f t="shared" si="12"/>
        <v>0</v>
      </c>
      <c r="K39">
        <f t="shared" si="12"/>
        <v>0</v>
      </c>
      <c r="L39">
        <f t="shared" si="12"/>
        <v>0</v>
      </c>
      <c r="M39">
        <f>SUM(B39:L39)</f>
        <v>0</v>
      </c>
    </row>
    <row r="40" spans="1:13" x14ac:dyDescent="0.25">
      <c r="A40" t="s">
        <v>37</v>
      </c>
      <c r="B40">
        <f>B64*B68*10*B$4*B$6/B$5</f>
        <v>0</v>
      </c>
      <c r="C40">
        <f>C64*C68*10*C$4*(C$6-0.5)/C$5+C72*C75*10*C$4*(0.5)/C$5</f>
        <v>0</v>
      </c>
      <c r="D40">
        <f t="shared" ref="D40:L40" si="13">D64*D68*10*D$4*D$6/D$5</f>
        <v>0</v>
      </c>
      <c r="E40">
        <f t="shared" si="13"/>
        <v>0</v>
      </c>
      <c r="F40">
        <f t="shared" si="13"/>
        <v>0</v>
      </c>
      <c r="G40">
        <f t="shared" si="13"/>
        <v>0</v>
      </c>
      <c r="H40">
        <f t="shared" si="13"/>
        <v>0</v>
      </c>
      <c r="I40">
        <f t="shared" si="13"/>
        <v>0</v>
      </c>
      <c r="J40">
        <f t="shared" si="13"/>
        <v>0</v>
      </c>
      <c r="K40">
        <f t="shared" si="13"/>
        <v>0</v>
      </c>
      <c r="L40">
        <f t="shared" si="13"/>
        <v>0</v>
      </c>
      <c r="M40">
        <f>SUM(B40:L40)</f>
        <v>0</v>
      </c>
    </row>
    <row r="41" spans="1:13" x14ac:dyDescent="0.25">
      <c r="A41" t="s">
        <v>38</v>
      </c>
      <c r="B41">
        <f>0.5*B65*B69*10*B$4*B$6/B$5+0.5*B65*B69*10*B$4*B$6/B$5</f>
        <v>0</v>
      </c>
      <c r="C41">
        <f>C65*C69*10*C$4*C$6/C$5</f>
        <v>0</v>
      </c>
      <c r="D41">
        <f t="shared" ref="D41:L41" si="14">0.5*D65*D69*10*D$4*D$6/D$5+0.5*D65*D69*10*D$4*D$6/D$5</f>
        <v>0</v>
      </c>
      <c r="E41">
        <f t="shared" si="14"/>
        <v>0</v>
      </c>
      <c r="F41">
        <f t="shared" si="14"/>
        <v>0</v>
      </c>
      <c r="G41">
        <f t="shared" si="14"/>
        <v>0</v>
      </c>
      <c r="H41">
        <f t="shared" si="14"/>
        <v>0</v>
      </c>
      <c r="I41">
        <f t="shared" si="14"/>
        <v>0</v>
      </c>
      <c r="J41">
        <f t="shared" si="14"/>
        <v>0</v>
      </c>
      <c r="K41">
        <f t="shared" si="14"/>
        <v>0</v>
      </c>
      <c r="L41">
        <f t="shared" si="14"/>
        <v>0</v>
      </c>
      <c r="M41">
        <f>SUM(B41:L41)</f>
        <v>0</v>
      </c>
    </row>
    <row r="42" spans="1:13" x14ac:dyDescent="0.25">
      <c r="A42" t="s">
        <v>39</v>
      </c>
      <c r="B42">
        <f t="shared" ref="B42:L42" si="15">B39+B40+B41</f>
        <v>0</v>
      </c>
      <c r="C42">
        <f t="shared" si="15"/>
        <v>0</v>
      </c>
      <c r="D42">
        <f t="shared" si="15"/>
        <v>0</v>
      </c>
      <c r="E42">
        <f t="shared" si="15"/>
        <v>0</v>
      </c>
      <c r="F42">
        <f t="shared" si="15"/>
        <v>0</v>
      </c>
      <c r="G42">
        <f t="shared" si="15"/>
        <v>0</v>
      </c>
      <c r="H42">
        <f t="shared" si="15"/>
        <v>0</v>
      </c>
      <c r="I42">
        <f t="shared" si="15"/>
        <v>0</v>
      </c>
      <c r="J42">
        <f t="shared" si="15"/>
        <v>0</v>
      </c>
      <c r="K42">
        <f t="shared" si="15"/>
        <v>0</v>
      </c>
      <c r="L42">
        <f t="shared" si="15"/>
        <v>0</v>
      </c>
      <c r="M42">
        <f>SUM(B42:L42)</f>
        <v>0</v>
      </c>
    </row>
    <row r="43" spans="1:13" x14ac:dyDescent="0.25">
      <c r="A43" t="s">
        <v>44</v>
      </c>
      <c r="B43">
        <f t="shared" ref="B43:L43" si="16">B42/40</f>
        <v>0</v>
      </c>
      <c r="C43">
        <f t="shared" si="16"/>
        <v>0</v>
      </c>
      <c r="D43">
        <f t="shared" si="16"/>
        <v>0</v>
      </c>
      <c r="E43">
        <f t="shared" si="16"/>
        <v>0</v>
      </c>
      <c r="F43">
        <f t="shared" si="16"/>
        <v>0</v>
      </c>
      <c r="G43">
        <f t="shared" si="16"/>
        <v>0</v>
      </c>
      <c r="H43">
        <f t="shared" si="16"/>
        <v>0</v>
      </c>
      <c r="I43">
        <f t="shared" si="16"/>
        <v>0</v>
      </c>
      <c r="J43">
        <f t="shared" si="16"/>
        <v>0</v>
      </c>
      <c r="K43">
        <f t="shared" si="16"/>
        <v>0</v>
      </c>
      <c r="L43">
        <f t="shared" si="16"/>
        <v>0</v>
      </c>
      <c r="M43">
        <f>SUM(B43:L43)</f>
        <v>0</v>
      </c>
    </row>
    <row r="44" spans="1:13" x14ac:dyDescent="0.25">
      <c r="A44" s="2" t="s">
        <v>45</v>
      </c>
      <c r="B44" s="2">
        <f t="shared" ref="B44:M44" si="17">$E$1*$G$1*B43*50/1000</f>
        <v>0</v>
      </c>
      <c r="C44" s="2">
        <f t="shared" si="17"/>
        <v>0</v>
      </c>
      <c r="D44" s="2">
        <f t="shared" si="17"/>
        <v>0</v>
      </c>
      <c r="E44" s="2">
        <f t="shared" si="17"/>
        <v>0</v>
      </c>
      <c r="F44" s="2">
        <f t="shared" si="17"/>
        <v>0</v>
      </c>
      <c r="G44" s="2">
        <f t="shared" si="17"/>
        <v>0</v>
      </c>
      <c r="H44" s="2">
        <f t="shared" si="17"/>
        <v>0</v>
      </c>
      <c r="I44" s="2">
        <f t="shared" si="17"/>
        <v>0</v>
      </c>
      <c r="J44" s="2">
        <f t="shared" si="17"/>
        <v>0</v>
      </c>
      <c r="K44" s="2">
        <f t="shared" si="17"/>
        <v>0</v>
      </c>
      <c r="L44" s="2">
        <f t="shared" si="17"/>
        <v>0</v>
      </c>
      <c r="M44" s="2">
        <f t="shared" si="17"/>
        <v>0</v>
      </c>
    </row>
    <row r="50" spans="1:13" x14ac:dyDescent="0.25">
      <c r="A50" t="s">
        <v>46</v>
      </c>
      <c r="B50">
        <f t="shared" ref="B50:M50" si="18">LOG10(B12)</f>
        <v>1.9030899869919435</v>
      </c>
      <c r="C50">
        <f t="shared" si="18"/>
        <v>1.9030899869919435</v>
      </c>
      <c r="D50">
        <f t="shared" si="18"/>
        <v>1.9030899869919435</v>
      </c>
      <c r="E50">
        <f t="shared" si="18"/>
        <v>1.7781512503836436</v>
      </c>
      <c r="F50">
        <f t="shared" si="18"/>
        <v>1.7781512503836436</v>
      </c>
      <c r="G50">
        <f t="shared" si="18"/>
        <v>1.7781512503836436</v>
      </c>
      <c r="H50">
        <f t="shared" si="18"/>
        <v>1.7781512503836436</v>
      </c>
      <c r="I50">
        <f t="shared" si="18"/>
        <v>2.2041199826559246</v>
      </c>
      <c r="J50">
        <f t="shared" si="18"/>
        <v>1.9030899869919435</v>
      </c>
      <c r="K50">
        <f t="shared" si="18"/>
        <v>1.9030899869919435</v>
      </c>
      <c r="L50">
        <f t="shared" si="18"/>
        <v>2.1760912590556813</v>
      </c>
      <c r="M50" t="e">
        <f t="shared" si="18"/>
        <v>#NUM!</v>
      </c>
    </row>
    <row r="51" spans="1:13" x14ac:dyDescent="0.25">
      <c r="B51">
        <f t="shared" ref="B51:M51" si="19">LOG10(B13)</f>
        <v>1.9030899869919435</v>
      </c>
      <c r="C51">
        <f t="shared" si="19"/>
        <v>1.9030899869919435</v>
      </c>
      <c r="D51">
        <f t="shared" si="19"/>
        <v>1.9030899869919435</v>
      </c>
      <c r="E51">
        <f t="shared" si="19"/>
        <v>1.7781512503836436</v>
      </c>
      <c r="F51">
        <f t="shared" si="19"/>
        <v>1.7781512503836436</v>
      </c>
      <c r="G51">
        <f t="shared" si="19"/>
        <v>1.7781512503836436</v>
      </c>
      <c r="H51">
        <f t="shared" si="19"/>
        <v>1.9030899869919435</v>
      </c>
      <c r="I51">
        <f t="shared" si="19"/>
        <v>2.2041199826559246</v>
      </c>
      <c r="J51">
        <f t="shared" si="19"/>
        <v>1.9030899869919435</v>
      </c>
      <c r="K51">
        <f t="shared" si="19"/>
        <v>1.9030899869919435</v>
      </c>
      <c r="L51">
        <f t="shared" si="19"/>
        <v>2.3010299956639813</v>
      </c>
      <c r="M51" t="e">
        <f t="shared" si="19"/>
        <v>#NUM!</v>
      </c>
    </row>
    <row r="52" spans="1:13" x14ac:dyDescent="0.25">
      <c r="B52">
        <f t="shared" ref="B52:M52" si="20">LOG10(B18)</f>
        <v>2.3010299956639813</v>
      </c>
      <c r="C52">
        <f t="shared" si="20"/>
        <v>2.3010299956639813</v>
      </c>
      <c r="D52">
        <f t="shared" si="20"/>
        <v>2.3010299956639813</v>
      </c>
      <c r="E52">
        <f t="shared" si="20"/>
        <v>2</v>
      </c>
      <c r="F52">
        <f t="shared" si="20"/>
        <v>2</v>
      </c>
      <c r="G52">
        <f t="shared" si="20"/>
        <v>2.3010299956639813</v>
      </c>
      <c r="H52">
        <f t="shared" si="20"/>
        <v>2</v>
      </c>
      <c r="I52">
        <f t="shared" si="20"/>
        <v>2.3010299956639813</v>
      </c>
      <c r="J52">
        <f t="shared" si="20"/>
        <v>1.9030899869919435</v>
      </c>
      <c r="K52">
        <f t="shared" si="20"/>
        <v>2.0791812460476247</v>
      </c>
      <c r="L52">
        <f t="shared" si="20"/>
        <v>2.3010299956639813</v>
      </c>
      <c r="M52" t="e">
        <f t="shared" si="20"/>
        <v>#NUM!</v>
      </c>
    </row>
    <row r="54" spans="1:13" x14ac:dyDescent="0.25">
      <c r="A54" t="s">
        <v>47</v>
      </c>
      <c r="B54">
        <f>((B10-4000)/1000*(B50-0.53)*(B$9-2)*0.326)</f>
        <v>-0.89525467151874716</v>
      </c>
      <c r="C54">
        <f>(0.5*(C10-4000)/1000*(C50-0.53)*(C$9-2)*0.326)</f>
        <v>-0.44762733575937358</v>
      </c>
      <c r="D54">
        <f t="shared" ref="D54:L54" si="21">((D10-4000)/1000*(D50-0.53)*(D$9-2)*0.326)</f>
        <v>-1.7905093430374943</v>
      </c>
      <c r="E54">
        <f t="shared" si="21"/>
        <v>-1.7903481535502985</v>
      </c>
      <c r="F54">
        <f t="shared" si="21"/>
        <v>-1.7903481535502985</v>
      </c>
      <c r="G54">
        <f t="shared" si="21"/>
        <v>-1.7903481535502985</v>
      </c>
      <c r="H54">
        <f t="shared" si="21"/>
        <v>-1.2206919228752036</v>
      </c>
      <c r="I54">
        <f t="shared" si="21"/>
        <v>1.2552551629954123</v>
      </c>
      <c r="J54">
        <f t="shared" si="21"/>
        <v>-1.3428820072781209</v>
      </c>
      <c r="K54">
        <f t="shared" si="21"/>
        <v>-1.3428820072781209</v>
      </c>
      <c r="L54">
        <f t="shared" si="21"/>
        <v>-2.1465030018086084</v>
      </c>
      <c r="M54" t="e">
        <f>((M10-4000)/1000*(M50-0.53)*(M$9-2)*0.326)</f>
        <v>#NUM!</v>
      </c>
    </row>
    <row r="55" spans="1:13" x14ac:dyDescent="0.25">
      <c r="A55" t="s">
        <v>47</v>
      </c>
      <c r="B55">
        <f>((B11-4000)/1000*(B51-0.53)*(B$9-2)*0.326)</f>
        <v>-0.35810186860749887</v>
      </c>
      <c r="C55">
        <f>(0.5*(C11-4000)/1000*(C51-0.53)*(C$9-2)*0.326)</f>
        <v>-0.17905093430374944</v>
      </c>
      <c r="D55">
        <f t="shared" ref="D55:L55" si="22">((D11-4000)/1000*(D51-0.53)*(D$9-2)*0.326)</f>
        <v>-0.71620373721499775</v>
      </c>
      <c r="E55">
        <f t="shared" si="22"/>
        <v>-1.4648303074502445</v>
      </c>
      <c r="F55">
        <f t="shared" si="22"/>
        <v>-1.4648303074502445</v>
      </c>
      <c r="G55">
        <f t="shared" si="22"/>
        <v>-1.4648303074502445</v>
      </c>
      <c r="H55">
        <f t="shared" si="22"/>
        <v>-0.97582759195543445</v>
      </c>
      <c r="I55">
        <f t="shared" si="22"/>
        <v>-1.2006788515608293</v>
      </c>
      <c r="J55">
        <f t="shared" si="22"/>
        <v>-0.53715280291124834</v>
      </c>
      <c r="K55">
        <f t="shared" si="22"/>
        <v>-0.53715280291124834</v>
      </c>
      <c r="L55">
        <f t="shared" si="22"/>
        <v>-2.3094231143458317</v>
      </c>
      <c r="M55" t="e">
        <f>((M11-4000)/1000*(M51-0.53)*(M$9-2)*0.326)</f>
        <v>#NUM!</v>
      </c>
    </row>
    <row r="56" spans="1:13" x14ac:dyDescent="0.25">
      <c r="A56" t="s">
        <v>47</v>
      </c>
      <c r="B56">
        <f>((((B16-B20)/B19)-4000)/1000*(B52-0.53)*(B$9-2)*0.326*B19)</f>
        <v>-2.3094231143458317</v>
      </c>
      <c r="C56">
        <f>(((C16+C17-2*C20)/2-4000)/1000*(C52-0.53)*(C$9-2)*0.326)</f>
        <v>-2.3094231143458317</v>
      </c>
      <c r="D56">
        <f t="shared" ref="D56:L56" si="23">((((D16-D20)/D19)-4000)/1000*(D52-0.53)*(D$9-2)*0.326*D19)</f>
        <v>-4.6188462286916634</v>
      </c>
      <c r="E56">
        <f t="shared" si="23"/>
        <v>-2.3961000000000001</v>
      </c>
      <c r="F56">
        <f t="shared" si="23"/>
        <v>-1.4376600000000002</v>
      </c>
      <c r="G56">
        <f t="shared" si="23"/>
        <v>-4.6188462286916634</v>
      </c>
      <c r="H56">
        <f t="shared" si="23"/>
        <v>-0.95844000000000007</v>
      </c>
      <c r="I56">
        <f t="shared" si="23"/>
        <v>-2.3094231143458317</v>
      </c>
      <c r="J56">
        <f t="shared" si="23"/>
        <v>-3.491493218923114</v>
      </c>
      <c r="K56">
        <f t="shared" si="23"/>
        <v>4.6968077017671881</v>
      </c>
      <c r="L56">
        <f t="shared" si="23"/>
        <v>-2.3094231143458317</v>
      </c>
      <c r="M56" t="e">
        <f>(((M16+M17-2*M20)/2-4000)/1000*(M52-0.53)*(M$9-2)*0.326)</f>
        <v>#NUM!</v>
      </c>
    </row>
    <row r="57" spans="1:13" x14ac:dyDescent="0.25">
      <c r="A57" t="s">
        <v>47</v>
      </c>
      <c r="B57">
        <f>((((B17-B20)/B19)-4000)/1000*(B52-0.53)*(B$9-2)*0.326*B19)</f>
        <v>-2.3094231143458317</v>
      </c>
      <c r="D57">
        <f t="shared" ref="D57:L57" si="24">((((D17-D20)/D19)-4000)/1000*(D52-0.53)*(D$9-2)*0.326*D19)</f>
        <v>-4.6188462286916634</v>
      </c>
      <c r="E57">
        <f t="shared" si="24"/>
        <v>-0.47922000000000003</v>
      </c>
      <c r="F57">
        <f t="shared" si="24"/>
        <v>-2.3961000000000001</v>
      </c>
      <c r="G57">
        <f t="shared" si="24"/>
        <v>-4.6188462286916634</v>
      </c>
      <c r="H57">
        <f t="shared" si="24"/>
        <v>-1.4376600000000002</v>
      </c>
      <c r="I57">
        <f t="shared" si="24"/>
        <v>-2.3094231143458317</v>
      </c>
      <c r="J57">
        <f t="shared" si="24"/>
        <v>3.2229168174674898</v>
      </c>
      <c r="K57">
        <f t="shared" si="24"/>
        <v>-4.3937878500402734</v>
      </c>
      <c r="L57">
        <f t="shared" si="24"/>
        <v>-2.3094231143458317</v>
      </c>
    </row>
    <row r="58" spans="1:13" x14ac:dyDescent="0.25">
      <c r="A58" t="s">
        <v>48</v>
      </c>
      <c r="B58">
        <f t="shared" ref="B58:C60" si="25">IF(B54&gt;0,1,0)</f>
        <v>0</v>
      </c>
      <c r="C58">
        <f t="shared" si="25"/>
        <v>0</v>
      </c>
      <c r="D58">
        <f t="shared" ref="D58:L58" si="26">IF(D54&gt;0,1,0)</f>
        <v>0</v>
      </c>
      <c r="E58">
        <f t="shared" si="26"/>
        <v>0</v>
      </c>
      <c r="F58">
        <f t="shared" si="26"/>
        <v>0</v>
      </c>
      <c r="G58">
        <f t="shared" si="26"/>
        <v>0</v>
      </c>
      <c r="H58">
        <f t="shared" si="26"/>
        <v>0</v>
      </c>
      <c r="I58">
        <f t="shared" si="26"/>
        <v>1</v>
      </c>
      <c r="J58">
        <f t="shared" si="26"/>
        <v>0</v>
      </c>
      <c r="K58">
        <f t="shared" si="26"/>
        <v>0</v>
      </c>
      <c r="L58">
        <f t="shared" si="26"/>
        <v>0</v>
      </c>
      <c r="M58" t="e">
        <f>IF(M54&gt;0,1,0)</f>
        <v>#NUM!</v>
      </c>
    </row>
    <row r="59" spans="1:13" x14ac:dyDescent="0.25">
      <c r="A59" t="s">
        <v>48</v>
      </c>
      <c r="B59">
        <f t="shared" si="25"/>
        <v>0</v>
      </c>
      <c r="C59">
        <f t="shared" si="25"/>
        <v>0</v>
      </c>
      <c r="D59">
        <f t="shared" ref="D59:L59" si="27">IF(D55&gt;0,1,0)</f>
        <v>0</v>
      </c>
      <c r="E59">
        <f t="shared" si="27"/>
        <v>0</v>
      </c>
      <c r="F59">
        <f t="shared" si="27"/>
        <v>0</v>
      </c>
      <c r="G59">
        <f t="shared" si="27"/>
        <v>0</v>
      </c>
      <c r="H59">
        <f t="shared" si="27"/>
        <v>0</v>
      </c>
      <c r="I59">
        <f t="shared" si="27"/>
        <v>0</v>
      </c>
      <c r="J59">
        <f t="shared" si="27"/>
        <v>0</v>
      </c>
      <c r="K59">
        <f t="shared" si="27"/>
        <v>0</v>
      </c>
      <c r="L59">
        <f t="shared" si="27"/>
        <v>0</v>
      </c>
      <c r="M59" t="e">
        <f>IF(M55&gt;0,1,0)</f>
        <v>#NUM!</v>
      </c>
    </row>
    <row r="60" spans="1:13" x14ac:dyDescent="0.25">
      <c r="A60" t="s">
        <v>48</v>
      </c>
      <c r="B60">
        <f t="shared" si="25"/>
        <v>0</v>
      </c>
      <c r="C60">
        <f t="shared" si="25"/>
        <v>0</v>
      </c>
      <c r="D60">
        <f t="shared" ref="D60:L60" si="28">IF(D56&gt;0,1,0)</f>
        <v>0</v>
      </c>
      <c r="E60">
        <f t="shared" si="28"/>
        <v>0</v>
      </c>
      <c r="F60">
        <f t="shared" si="28"/>
        <v>0</v>
      </c>
      <c r="G60">
        <f t="shared" si="28"/>
        <v>0</v>
      </c>
      <c r="H60">
        <f t="shared" si="28"/>
        <v>0</v>
      </c>
      <c r="I60">
        <f t="shared" si="28"/>
        <v>0</v>
      </c>
      <c r="J60">
        <f t="shared" si="28"/>
        <v>0</v>
      </c>
      <c r="K60">
        <f t="shared" si="28"/>
        <v>1</v>
      </c>
      <c r="L60">
        <f t="shared" si="28"/>
        <v>0</v>
      </c>
      <c r="M60" t="e">
        <f>IF(M56&gt;0,1,0)</f>
        <v>#NUM!</v>
      </c>
    </row>
    <row r="61" spans="1:13" x14ac:dyDescent="0.25">
      <c r="A61" t="s">
        <v>48</v>
      </c>
      <c r="B61">
        <f>IF(B57&gt;0,1,0)</f>
        <v>0</v>
      </c>
      <c r="D61">
        <f t="shared" ref="D61:L61" si="29">IF(D57&gt;0,1,0)</f>
        <v>0</v>
      </c>
      <c r="E61">
        <f t="shared" si="29"/>
        <v>0</v>
      </c>
      <c r="F61">
        <f t="shared" si="29"/>
        <v>0</v>
      </c>
      <c r="G61">
        <f t="shared" si="29"/>
        <v>0</v>
      </c>
      <c r="H61">
        <f t="shared" si="29"/>
        <v>0</v>
      </c>
      <c r="I61">
        <f t="shared" si="29"/>
        <v>0</v>
      </c>
      <c r="J61">
        <f t="shared" si="29"/>
        <v>1</v>
      </c>
      <c r="K61">
        <f t="shared" si="29"/>
        <v>0</v>
      </c>
      <c r="L61">
        <f t="shared" si="29"/>
        <v>0</v>
      </c>
    </row>
    <row r="63" spans="1:13" x14ac:dyDescent="0.25">
      <c r="A63" t="s">
        <v>49</v>
      </c>
      <c r="B63">
        <f>((B10-6000)/1000*(B50-0.27)*(B$9-2)*0.272)</f>
        <v>-1.7768019058472346</v>
      </c>
      <c r="C63">
        <f>((C10-6000)/1000*(C50-0.27)*(C$9-2)*0.272)</f>
        <v>-1.7768019058472346</v>
      </c>
      <c r="D63">
        <f t="shared" ref="D63:L63" si="30">((D10-6000)/1000*(D50-0.27)*(D$9-2)*0.272)</f>
        <v>-3.5536038116944693</v>
      </c>
      <c r="E63">
        <f t="shared" si="30"/>
        <v>-3.4458239768765497</v>
      </c>
      <c r="F63">
        <f t="shared" si="30"/>
        <v>-3.4458239768765497</v>
      </c>
      <c r="G63">
        <f t="shared" si="30"/>
        <v>-3.4458239768765497</v>
      </c>
      <c r="H63">
        <f t="shared" si="30"/>
        <v>-2.0510857005217553</v>
      </c>
      <c r="I63">
        <f t="shared" si="30"/>
        <v>0.15782419058472344</v>
      </c>
      <c r="J63">
        <f t="shared" si="30"/>
        <v>-2.6652028587708521</v>
      </c>
      <c r="K63">
        <f t="shared" si="30"/>
        <v>-2.6652028587708521</v>
      </c>
      <c r="L63">
        <f t="shared" si="30"/>
        <v>-3.1107409347788719</v>
      </c>
      <c r="M63" t="e">
        <f>((M10-6000)/1000*(M50-0.27)*(M$9-2)*0.272)</f>
        <v>#NUM!</v>
      </c>
    </row>
    <row r="64" spans="1:13" x14ac:dyDescent="0.25">
      <c r="B64">
        <f>((B11-6000)/1000*(B51-0.27)*(B$9-2)*0.272)</f>
        <v>-1.2437613340930642</v>
      </c>
      <c r="C64">
        <f>((C11-6000)/1000*(C51-0.27)*(C$9-2)*0.272)</f>
        <v>-1.2437613340930642</v>
      </c>
      <c r="D64">
        <f t="shared" ref="D64:L64" si="31">((D11-6000)/1000*(D51-0.27)*(D$9-2)*0.272)</f>
        <v>-2.4875226681861284</v>
      </c>
      <c r="E64">
        <f t="shared" si="31"/>
        <v>-3.1176502647930677</v>
      </c>
      <c r="F64">
        <f t="shared" si="31"/>
        <v>-3.1176502647930677</v>
      </c>
      <c r="G64">
        <f t="shared" si="31"/>
        <v>-3.1176502647930677</v>
      </c>
      <c r="H64">
        <f t="shared" si="31"/>
        <v>-1.8567579916103603</v>
      </c>
      <c r="I64">
        <f t="shared" si="31"/>
        <v>-2.2095386681861284</v>
      </c>
      <c r="J64">
        <f t="shared" si="31"/>
        <v>-1.8656420011395962</v>
      </c>
      <c r="K64">
        <f t="shared" si="31"/>
        <v>-1.8656420011395962</v>
      </c>
      <c r="L64">
        <f t="shared" si="31"/>
        <v>-3.3146409529236172</v>
      </c>
      <c r="M64" t="e">
        <f>((M11-6000)/1000*(M51-0.27)*(M$9-2)*0.272)</f>
        <v>#NUM!</v>
      </c>
    </row>
    <row r="65" spans="1:13" x14ac:dyDescent="0.25">
      <c r="B65">
        <f>((((B16-B20)/B19)-6000)/1000*(B52-0.27)*(B$9-2)*0.272*B19)</f>
        <v>-3.3146409529236172</v>
      </c>
      <c r="C65">
        <f>(((C16+C17-2*C20)/2-6000)/1000*(C52-0.27)*(C$9-2)*0.272)</f>
        <v>-3.3146409529236172</v>
      </c>
      <c r="D65">
        <f t="shared" ref="D65:L65" si="32">((((D16-D20)/D19)-6000)/1000*(D52-0.27)*(D$9-2)*0.272*D19)</f>
        <v>-6.6292819058472343</v>
      </c>
      <c r="E65">
        <f t="shared" si="32"/>
        <v>-4.2350400000000006</v>
      </c>
      <c r="F65">
        <f t="shared" si="32"/>
        <v>-3.29392</v>
      </c>
      <c r="G65">
        <f t="shared" si="32"/>
        <v>-6.6292819058472343</v>
      </c>
      <c r="H65">
        <f t="shared" si="32"/>
        <v>-1.8822400000000001</v>
      </c>
      <c r="I65">
        <f t="shared" si="32"/>
        <v>-3.3146409529236172</v>
      </c>
      <c r="J65">
        <f t="shared" si="32"/>
        <v>-6.1299665751729586</v>
      </c>
      <c r="K65">
        <f t="shared" si="32"/>
        <v>1.6239210864523481</v>
      </c>
      <c r="L65">
        <f t="shared" si="32"/>
        <v>-3.3146409529236172</v>
      </c>
      <c r="M65" t="e">
        <f>(((M16+M17-2*M20)/2-6000)/1000*(M52-0.27)*(M$9-2)*0.272)</f>
        <v>#NUM!</v>
      </c>
    </row>
    <row r="66" spans="1:13" x14ac:dyDescent="0.25">
      <c r="B66">
        <f>((((B17-B20)/B19)-6000)/1000*(B52-0.27)*(B$9-2)*0.272*B19)</f>
        <v>-3.3146409529236172</v>
      </c>
      <c r="D66">
        <f t="shared" ref="D66:L66" si="33">((((D17-D20)/D19)-6000)/1000*(D52-0.27)*(D$9-2)*0.272*D19)</f>
        <v>-6.6292819058472343</v>
      </c>
      <c r="E66">
        <f t="shared" si="33"/>
        <v>-2.3528000000000002</v>
      </c>
      <c r="F66">
        <f t="shared" si="33"/>
        <v>-4.2350400000000006</v>
      </c>
      <c r="G66">
        <f t="shared" si="33"/>
        <v>-6.6292819058472343</v>
      </c>
      <c r="H66">
        <f t="shared" si="33"/>
        <v>-2.3528000000000002</v>
      </c>
      <c r="I66">
        <f t="shared" si="33"/>
        <v>-3.3146409529236172</v>
      </c>
      <c r="J66">
        <f t="shared" si="33"/>
        <v>0.53304057175417041</v>
      </c>
      <c r="K66">
        <f t="shared" si="33"/>
        <v>-7.2338302941968236</v>
      </c>
      <c r="L66">
        <f t="shared" si="33"/>
        <v>-3.3146409529236172</v>
      </c>
    </row>
    <row r="67" spans="1:13" x14ac:dyDescent="0.25">
      <c r="A67" t="s">
        <v>48</v>
      </c>
      <c r="B67">
        <f t="shared" ref="B67:C69" si="34">IF(B63&gt;0,1,0)</f>
        <v>0</v>
      </c>
      <c r="C67">
        <f t="shared" si="34"/>
        <v>0</v>
      </c>
      <c r="D67">
        <f t="shared" ref="D67:L67" si="35">IF(D63&gt;0,1,0)</f>
        <v>0</v>
      </c>
      <c r="E67">
        <f t="shared" si="35"/>
        <v>0</v>
      </c>
      <c r="F67">
        <f t="shared" si="35"/>
        <v>0</v>
      </c>
      <c r="G67">
        <f t="shared" si="35"/>
        <v>0</v>
      </c>
      <c r="H67">
        <f t="shared" si="35"/>
        <v>0</v>
      </c>
      <c r="I67">
        <f t="shared" si="35"/>
        <v>1</v>
      </c>
      <c r="J67">
        <f t="shared" si="35"/>
        <v>0</v>
      </c>
      <c r="K67">
        <f t="shared" si="35"/>
        <v>0</v>
      </c>
      <c r="L67">
        <f t="shared" si="35"/>
        <v>0</v>
      </c>
      <c r="M67" t="e">
        <f>IF(M63&gt;0,1,0)</f>
        <v>#NUM!</v>
      </c>
    </row>
    <row r="68" spans="1:13" x14ac:dyDescent="0.25">
      <c r="B68">
        <f t="shared" si="34"/>
        <v>0</v>
      </c>
      <c r="C68">
        <f t="shared" si="34"/>
        <v>0</v>
      </c>
      <c r="D68">
        <f t="shared" ref="D68:L68" si="36">IF(D64&gt;0,1,0)</f>
        <v>0</v>
      </c>
      <c r="E68">
        <f t="shared" si="36"/>
        <v>0</v>
      </c>
      <c r="F68">
        <f t="shared" si="36"/>
        <v>0</v>
      </c>
      <c r="G68">
        <f t="shared" si="36"/>
        <v>0</v>
      </c>
      <c r="H68">
        <f t="shared" si="36"/>
        <v>0</v>
      </c>
      <c r="I68">
        <f t="shared" si="36"/>
        <v>0</v>
      </c>
      <c r="J68">
        <f t="shared" si="36"/>
        <v>0</v>
      </c>
      <c r="K68">
        <f t="shared" si="36"/>
        <v>0</v>
      </c>
      <c r="L68">
        <f t="shared" si="36"/>
        <v>0</v>
      </c>
      <c r="M68" t="e">
        <f>IF(M64&gt;0,1,0)</f>
        <v>#NUM!</v>
      </c>
    </row>
    <row r="69" spans="1:13" x14ac:dyDescent="0.25">
      <c r="B69">
        <f t="shared" si="34"/>
        <v>0</v>
      </c>
      <c r="C69">
        <f t="shared" si="34"/>
        <v>0</v>
      </c>
      <c r="D69">
        <f t="shared" ref="D69:L69" si="37">IF(D65&gt;0,1,0)</f>
        <v>0</v>
      </c>
      <c r="E69">
        <f t="shared" si="37"/>
        <v>0</v>
      </c>
      <c r="F69">
        <f t="shared" si="37"/>
        <v>0</v>
      </c>
      <c r="G69">
        <f t="shared" si="37"/>
        <v>0</v>
      </c>
      <c r="H69">
        <f t="shared" si="37"/>
        <v>0</v>
      </c>
      <c r="I69">
        <f t="shared" si="37"/>
        <v>0</v>
      </c>
      <c r="J69">
        <f t="shared" si="37"/>
        <v>0</v>
      </c>
      <c r="K69">
        <f t="shared" si="37"/>
        <v>1</v>
      </c>
      <c r="L69">
        <f t="shared" si="37"/>
        <v>0</v>
      </c>
      <c r="M69" t="e">
        <f>IF(M65&gt;0,1,0)</f>
        <v>#NUM!</v>
      </c>
    </row>
    <row r="70" spans="1:13" x14ac:dyDescent="0.25">
      <c r="B70">
        <f>IF(B66&gt;0,1,0)</f>
        <v>0</v>
      </c>
      <c r="D70">
        <f t="shared" ref="D70:L70" si="38">IF(D66&gt;0,1,0)</f>
        <v>0</v>
      </c>
      <c r="E70">
        <f t="shared" si="38"/>
        <v>0</v>
      </c>
      <c r="F70">
        <f t="shared" si="38"/>
        <v>0</v>
      </c>
      <c r="G70">
        <f t="shared" si="38"/>
        <v>0</v>
      </c>
      <c r="H70">
        <f t="shared" si="38"/>
        <v>0</v>
      </c>
      <c r="I70">
        <f t="shared" si="38"/>
        <v>0</v>
      </c>
      <c r="J70">
        <f t="shared" si="38"/>
        <v>1</v>
      </c>
      <c r="K70">
        <f t="shared" si="38"/>
        <v>0</v>
      </c>
      <c r="L70">
        <f t="shared" si="38"/>
        <v>0</v>
      </c>
    </row>
    <row r="71" spans="1:13" x14ac:dyDescent="0.25">
      <c r="C71">
        <f>((C10-3000)/1000*(C50-0.27)*(C$9-2)*0.272)</f>
        <v>-0.44420047646180866</v>
      </c>
    </row>
    <row r="72" spans="1:13" x14ac:dyDescent="0.25">
      <c r="C72">
        <f>((C11-3000)/1000*(C51-0.27)*(C$9-2)*0.272)</f>
        <v>8.884009529236174E-2</v>
      </c>
    </row>
    <row r="74" spans="1:13" x14ac:dyDescent="0.25">
      <c r="C74">
        <f>IF(C71&gt;0,1,0)</f>
        <v>0</v>
      </c>
    </row>
    <row r="75" spans="1:13" x14ac:dyDescent="0.25">
      <c r="C75">
        <f>IF(C72&gt;0,1,0)</f>
        <v>1</v>
      </c>
    </row>
  </sheetData>
  <phoneticPr fontId="3" type="noConversion"/>
  <pageMargins left="0.75" right="0.75" top="1" bottom="1" header="0.5" footer="0.5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Info</vt:lpstr>
      <vt:lpstr>TONKM</vt:lpstr>
      <vt:lpstr>Info!OLE_LINK1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Listh</dc:creator>
  <cp:lastModifiedBy>Dan-Axel Danielsson</cp:lastModifiedBy>
  <cp:lastPrinted>2003-11-21T12:33:50Z</cp:lastPrinted>
  <dcterms:created xsi:type="dcterms:W3CDTF">2003-03-31T20:07:03Z</dcterms:created>
  <dcterms:modified xsi:type="dcterms:W3CDTF">2022-10-10T13:46:40Z</dcterms:modified>
</cp:coreProperties>
</file>