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showObjects="placeholders"/>
  <mc:AlternateContent xmlns:mc="http://schemas.openxmlformats.org/markup-compatibility/2006">
    <mc:Choice Requires="x15">
      <x15ac:absPath xmlns:x15ac="http://schemas.microsoft.com/office/spreadsheetml/2010/11/ac" url="G:\avdelning\Växt- och kontrollavdelningen\3 Greppa\MODULUNDERLAG\41C Endags utfodringskontroll\Nytt material\"/>
    </mc:Choice>
  </mc:AlternateContent>
  <xr:revisionPtr revIDLastSave="0" documentId="8_{DBE106E9-6FA0-4783-89A4-A2BA7C3EE6CF}" xr6:coauthVersionLast="36" xr6:coauthVersionMax="36" xr10:uidLastSave="{00000000-0000-0000-0000-000000000000}"/>
  <bookViews>
    <workbookView xWindow="0" yWindow="0" windowWidth="28800" windowHeight="12225" firstSheet="2" activeTab="2" xr2:uid="{00000000-000D-0000-FFFF-FFFF00000000}"/>
  </bookViews>
  <sheets>
    <sheet name="mjölkrastjurar" sheetId="10" r:id="rId1"/>
    <sheet name="mjölkraskvigor &amp; stutar" sheetId="11" r:id="rId2"/>
    <sheet name="köttrastjurar" sheetId="12" r:id="rId3"/>
    <sheet name="köttraskvigor &amp; stutar" sheetId="13" r:id="rId4"/>
  </sheets>
  <definedNames>
    <definedName name="_xlnm.Print_Area" localSheetId="3">'köttraskvigor &amp; stutar'!$A$1:$O$71</definedName>
    <definedName name="_xlnm.Print_Area" localSheetId="2">köttrastjurar!$A$1:$O$71</definedName>
    <definedName name="_xlnm.Print_Area" localSheetId="1">'mjölkraskvigor &amp; stutar'!$A$1:$P$71</definedName>
    <definedName name="_xlnm.Print_Area" localSheetId="0">mjölkrastjurar!$A$1:$O$71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2" i="12" l="1"/>
  <c r="AG12" i="12"/>
  <c r="AF12" i="12"/>
  <c r="AF5" i="12" s="1"/>
  <c r="AE12" i="12"/>
  <c r="AE5" i="12" s="1"/>
  <c r="AH2" i="12"/>
  <c r="AG2" i="12"/>
  <c r="AF2" i="12"/>
  <c r="AE2" i="12"/>
  <c r="AH1" i="12"/>
  <c r="AH3" i="12" s="1"/>
  <c r="AG1" i="12"/>
  <c r="AG3" i="12" s="1"/>
  <c r="AF1" i="12"/>
  <c r="AF3" i="12" s="1"/>
  <c r="AE1" i="12"/>
  <c r="AE3" i="12" s="1"/>
  <c r="AI1" i="13"/>
  <c r="AH1" i="13"/>
  <c r="AH12" i="13" s="1"/>
  <c r="AG1" i="13"/>
  <c r="AG12" i="13" s="1"/>
  <c r="AE4" i="12" l="1"/>
  <c r="AG5" i="12"/>
  <c r="AH5" i="12"/>
  <c r="AE19" i="12"/>
  <c r="AF4" i="12"/>
  <c r="AF19" i="12" s="1"/>
  <c r="AG5" i="13"/>
  <c r="AH5" i="13"/>
  <c r="AI12" i="13"/>
  <c r="AI5" i="13" s="1"/>
  <c r="AG2" i="13"/>
  <c r="AH2" i="13"/>
  <c r="AI2" i="13"/>
  <c r="AH4" i="12" l="1"/>
  <c r="AH19" i="12" s="1"/>
  <c r="AG4" i="12"/>
  <c r="AG19" i="12" s="1"/>
  <c r="AH3" i="13"/>
  <c r="AH4" i="13" s="1"/>
  <c r="AH19" i="13" s="1"/>
  <c r="AG3" i="13"/>
  <c r="AG4" i="13" s="1"/>
  <c r="AG19" i="13" s="1"/>
  <c r="AI3" i="13"/>
  <c r="AI4" i="13" s="1"/>
  <c r="AI19" i="13" s="1"/>
  <c r="AF1" i="13" l="1"/>
  <c r="AF12" i="13" s="1"/>
  <c r="AF2" i="13" l="1"/>
  <c r="AF3" i="13" s="1"/>
  <c r="AF5" i="13"/>
  <c r="AF4" i="13" l="1"/>
  <c r="AF19" i="13" s="1"/>
  <c r="AY31" i="13" l="1"/>
  <c r="AX31" i="13"/>
  <c r="AW31" i="13"/>
  <c r="AV31" i="13"/>
  <c r="S31" i="13"/>
  <c r="R31" i="13"/>
  <c r="Q31" i="13"/>
  <c r="P31" i="13"/>
  <c r="AY30" i="13"/>
  <c r="AX30" i="13"/>
  <c r="AW30" i="13"/>
  <c r="AV30" i="13"/>
  <c r="S30" i="13"/>
  <c r="AU30" i="13" s="1"/>
  <c r="R30" i="13"/>
  <c r="AT30" i="13" s="1"/>
  <c r="Q30" i="13"/>
  <c r="AS30" i="13" s="1"/>
  <c r="P30" i="13"/>
  <c r="AR30" i="13" s="1"/>
  <c r="AY29" i="13"/>
  <c r="AX29" i="13"/>
  <c r="AW29" i="13"/>
  <c r="AV29" i="13"/>
  <c r="S29" i="13"/>
  <c r="R29" i="13"/>
  <c r="Q29" i="13"/>
  <c r="P29" i="13"/>
  <c r="AY28" i="13"/>
  <c r="AX28" i="13"/>
  <c r="AW28" i="13"/>
  <c r="AV28" i="13"/>
  <c r="S28" i="13"/>
  <c r="AU28" i="13" s="1"/>
  <c r="R28" i="13"/>
  <c r="Q28" i="13"/>
  <c r="AS28" i="13" s="1"/>
  <c r="P28" i="13"/>
  <c r="AN28" i="13" s="1"/>
  <c r="AY27" i="13"/>
  <c r="AX27" i="13"/>
  <c r="AW27" i="13"/>
  <c r="AV27" i="13"/>
  <c r="S27" i="13"/>
  <c r="R27" i="13"/>
  <c r="Q27" i="13"/>
  <c r="P27" i="13"/>
  <c r="AY26" i="13"/>
  <c r="AX26" i="13"/>
  <c r="AW26" i="13"/>
  <c r="AV26" i="13"/>
  <c r="S26" i="13"/>
  <c r="AU26" i="13" s="1"/>
  <c r="R26" i="13"/>
  <c r="AD26" i="13" s="1"/>
  <c r="Q26" i="13"/>
  <c r="AS26" i="13" s="1"/>
  <c r="P26" i="13"/>
  <c r="X26" i="13" s="1"/>
  <c r="AY32" i="13"/>
  <c r="AX32" i="13"/>
  <c r="AW32" i="13"/>
  <c r="AV32" i="13"/>
  <c r="S32" i="13"/>
  <c r="AU32" i="13" s="1"/>
  <c r="R32" i="13"/>
  <c r="Q32" i="13"/>
  <c r="P32" i="13"/>
  <c r="AF32" i="13" s="1"/>
  <c r="AZ32" i="13" s="1"/>
  <c r="AD27" i="13" l="1"/>
  <c r="AT28" i="13"/>
  <c r="AD28" i="13"/>
  <c r="V26" i="13"/>
  <c r="AR27" i="13"/>
  <c r="AR29" i="13"/>
  <c r="AJ29" i="13"/>
  <c r="AB29" i="13"/>
  <c r="T29" i="13"/>
  <c r="AR31" i="13"/>
  <c r="AL26" i="13"/>
  <c r="AT26" i="13"/>
  <c r="T27" i="13"/>
  <c r="T31" i="13"/>
  <c r="AB27" i="13"/>
  <c r="AB31" i="13"/>
  <c r="AJ27" i="13"/>
  <c r="AJ31" i="13"/>
  <c r="AN26" i="13"/>
  <c r="X30" i="13"/>
  <c r="Y26" i="13"/>
  <c r="AG26" i="13"/>
  <c r="BA26" i="13" s="1"/>
  <c r="AO26" i="13"/>
  <c r="U27" i="13"/>
  <c r="AC27" i="13"/>
  <c r="AK27" i="13"/>
  <c r="AS27" i="13"/>
  <c r="Y28" i="13"/>
  <c r="AG28" i="13"/>
  <c r="BA28" i="13" s="1"/>
  <c r="AO28" i="13"/>
  <c r="U29" i="13"/>
  <c r="AC29" i="13"/>
  <c r="AK29" i="13"/>
  <c r="AS29" i="13"/>
  <c r="Y30" i="13"/>
  <c r="AG30" i="13"/>
  <c r="BA30" i="13" s="1"/>
  <c r="AO30" i="13"/>
  <c r="U31" i="13"/>
  <c r="AC31" i="13"/>
  <c r="AK31" i="13"/>
  <c r="AS31" i="13"/>
  <c r="AF26" i="13"/>
  <c r="AZ26" i="13" s="1"/>
  <c r="Z26" i="13"/>
  <c r="AH26" i="13"/>
  <c r="BB26" i="13" s="1"/>
  <c r="AP26" i="13"/>
  <c r="V27" i="13"/>
  <c r="AL27" i="13"/>
  <c r="AT27" i="13"/>
  <c r="Z28" i="13"/>
  <c r="AH28" i="13"/>
  <c r="BB28" i="13" s="1"/>
  <c r="AP28" i="13"/>
  <c r="V29" i="13"/>
  <c r="AD29" i="13"/>
  <c r="AL29" i="13"/>
  <c r="AT29" i="13"/>
  <c r="Z30" i="13"/>
  <c r="AH30" i="13"/>
  <c r="BB30" i="13" s="1"/>
  <c r="AP30" i="13"/>
  <c r="V31" i="13"/>
  <c r="AD31" i="13"/>
  <c r="AL31" i="13"/>
  <c r="AT31" i="13"/>
  <c r="AF28" i="13"/>
  <c r="AZ28" i="13" s="1"/>
  <c r="AN30" i="13"/>
  <c r="AA26" i="13"/>
  <c r="AI26" i="13"/>
  <c r="BC26" i="13" s="1"/>
  <c r="AQ26" i="13"/>
  <c r="W27" i="13"/>
  <c r="AE27" i="13"/>
  <c r="AM27" i="13"/>
  <c r="AU27" i="13"/>
  <c r="AA28" i="13"/>
  <c r="AI28" i="13"/>
  <c r="BC28" i="13" s="1"/>
  <c r="AQ28" i="13"/>
  <c r="W29" i="13"/>
  <c r="AE29" i="13"/>
  <c r="AM29" i="13"/>
  <c r="AU29" i="13"/>
  <c r="AA30" i="13"/>
  <c r="AI30" i="13"/>
  <c r="BC30" i="13" s="1"/>
  <c r="AQ30" i="13"/>
  <c r="W31" i="13"/>
  <c r="AE31" i="13"/>
  <c r="AM31" i="13"/>
  <c r="AU31" i="13"/>
  <c r="AF30" i="13"/>
  <c r="AZ30" i="13" s="1"/>
  <c r="T26" i="13"/>
  <c r="AB26" i="13"/>
  <c r="AJ26" i="13"/>
  <c r="AR26" i="13"/>
  <c r="X27" i="13"/>
  <c r="AF27" i="13"/>
  <c r="AZ27" i="13" s="1"/>
  <c r="AN27" i="13"/>
  <c r="T28" i="13"/>
  <c r="AB28" i="13"/>
  <c r="AJ28" i="13"/>
  <c r="AR28" i="13"/>
  <c r="X29" i="13"/>
  <c r="AF29" i="13"/>
  <c r="AZ29" i="13" s="1"/>
  <c r="AN29" i="13"/>
  <c r="T30" i="13"/>
  <c r="AB30" i="13"/>
  <c r="AJ30" i="13"/>
  <c r="X31" i="13"/>
  <c r="AF31" i="13"/>
  <c r="AZ31" i="13" s="1"/>
  <c r="AN31" i="13"/>
  <c r="X28" i="13"/>
  <c r="U26" i="13"/>
  <c r="AC26" i="13"/>
  <c r="AK26" i="13"/>
  <c r="Y27" i="13"/>
  <c r="AG27" i="13"/>
  <c r="BA27" i="13" s="1"/>
  <c r="AO27" i="13"/>
  <c r="U28" i="13"/>
  <c r="AC28" i="13"/>
  <c r="AK28" i="13"/>
  <c r="Y29" i="13"/>
  <c r="AG29" i="13"/>
  <c r="BA29" i="13" s="1"/>
  <c r="AO29" i="13"/>
  <c r="U30" i="13"/>
  <c r="AC30" i="13"/>
  <c r="AK30" i="13"/>
  <c r="Y31" i="13"/>
  <c r="AG31" i="13"/>
  <c r="BA31" i="13" s="1"/>
  <c r="AO31" i="13"/>
  <c r="Z27" i="13"/>
  <c r="AH27" i="13"/>
  <c r="BB27" i="13" s="1"/>
  <c r="AP27" i="13"/>
  <c r="V28" i="13"/>
  <c r="AL28" i="13"/>
  <c r="Z29" i="13"/>
  <c r="AH29" i="13"/>
  <c r="BB29" i="13" s="1"/>
  <c r="AP29" i="13"/>
  <c r="V30" i="13"/>
  <c r="AD30" i="13"/>
  <c r="AL30" i="13"/>
  <c r="Z31" i="13"/>
  <c r="AH31" i="13"/>
  <c r="BB31" i="13" s="1"/>
  <c r="AP31" i="13"/>
  <c r="W26" i="13"/>
  <c r="AE26" i="13"/>
  <c r="AM26" i="13"/>
  <c r="AA27" i="13"/>
  <c r="AI27" i="13"/>
  <c r="BC27" i="13" s="1"/>
  <c r="AQ27" i="13"/>
  <c r="W28" i="13"/>
  <c r="AE28" i="13"/>
  <c r="AM28" i="13"/>
  <c r="AA29" i="13"/>
  <c r="AI29" i="13"/>
  <c r="BC29" i="13" s="1"/>
  <c r="AQ29" i="13"/>
  <c r="W30" i="13"/>
  <c r="AE30" i="13"/>
  <c r="AM30" i="13"/>
  <c r="AA31" i="13"/>
  <c r="AI31" i="13"/>
  <c r="BC31" i="13" s="1"/>
  <c r="AQ31" i="13"/>
  <c r="AA32" i="13"/>
  <c r="AQ32" i="13"/>
  <c r="T32" i="13"/>
  <c r="AK32" i="13"/>
  <c r="AS32" i="13"/>
  <c r="Y32" i="13"/>
  <c r="AH32" i="13"/>
  <c r="BB32" i="13" s="1"/>
  <c r="AB32" i="13"/>
  <c r="AR32" i="13"/>
  <c r="AC32" i="13"/>
  <c r="V32" i="13"/>
  <c r="AD32" i="13"/>
  <c r="AL32" i="13"/>
  <c r="AT32" i="13"/>
  <c r="AI32" i="13"/>
  <c r="BC32" i="13" s="1"/>
  <c r="AJ32" i="13"/>
  <c r="U32" i="13"/>
  <c r="W32" i="13"/>
  <c r="AE32" i="13"/>
  <c r="AM32" i="13"/>
  <c r="AN32" i="13"/>
  <c r="AG32" i="13"/>
  <c r="BA32" i="13" s="1"/>
  <c r="AO32" i="13"/>
  <c r="X32" i="13"/>
  <c r="Z32" i="13"/>
  <c r="AP32" i="13"/>
  <c r="Y7" i="12"/>
  <c r="Y8" i="12"/>
  <c r="Y9" i="12"/>
  <c r="F10" i="13" l="1"/>
  <c r="Q6" i="13" l="1"/>
  <c r="R6" i="13"/>
  <c r="S6" i="13" s="1"/>
  <c r="Q7" i="13"/>
  <c r="R7" i="13"/>
  <c r="S7" i="13" s="1"/>
  <c r="Q8" i="13"/>
  <c r="R8" i="13"/>
  <c r="S8" i="13" s="1"/>
  <c r="Y7" i="13"/>
  <c r="Q9" i="13"/>
  <c r="R9" i="13"/>
  <c r="S9" i="13"/>
  <c r="Y8" i="13"/>
  <c r="Y9" i="13"/>
  <c r="Q11" i="13"/>
  <c r="R11" i="13"/>
  <c r="F11" i="13"/>
  <c r="Q12" i="13"/>
  <c r="R12" i="13"/>
  <c r="S12" i="13" s="1"/>
  <c r="Q13" i="13"/>
  <c r="R13" i="13"/>
  <c r="S13" i="13" s="1"/>
  <c r="Q14" i="13"/>
  <c r="R14" i="13"/>
  <c r="W14" i="13" s="1"/>
  <c r="W19" i="13" s="1"/>
  <c r="B14" i="13"/>
  <c r="B15" i="13" s="1"/>
  <c r="C14" i="13"/>
  <c r="C15" i="13" s="1"/>
  <c r="D14" i="13"/>
  <c r="D15" i="13" s="1"/>
  <c r="E14" i="13"/>
  <c r="E15" i="13" s="1"/>
  <c r="Q16" i="13"/>
  <c r="R16" i="13"/>
  <c r="Q17" i="13"/>
  <c r="R17" i="13"/>
  <c r="Q18" i="13"/>
  <c r="R18" i="13"/>
  <c r="Q19" i="13"/>
  <c r="R19" i="13"/>
  <c r="P22" i="13"/>
  <c r="X22" i="13" s="1"/>
  <c r="Q22" i="13"/>
  <c r="AC22" i="13" s="1"/>
  <c r="R22" i="13"/>
  <c r="S22" i="13"/>
  <c r="W22" i="13" s="1"/>
  <c r="AV22" i="13"/>
  <c r="AW22" i="13"/>
  <c r="AX22" i="13"/>
  <c r="AY22" i="13"/>
  <c r="P25" i="13"/>
  <c r="T25" i="13" s="1"/>
  <c r="Q25" i="13"/>
  <c r="U25" i="13" s="1"/>
  <c r="R25" i="13"/>
  <c r="S25" i="13"/>
  <c r="W25" i="13" s="1"/>
  <c r="AV25" i="13"/>
  <c r="AW25" i="13"/>
  <c r="AX25" i="13"/>
  <c r="AY25" i="13"/>
  <c r="P24" i="13"/>
  <c r="AN24" i="13" s="1"/>
  <c r="Q24" i="13"/>
  <c r="AG24" i="13" s="1"/>
  <c r="BA24" i="13" s="1"/>
  <c r="R24" i="13"/>
  <c r="S24" i="13"/>
  <c r="W24" i="13" s="1"/>
  <c r="AV24" i="13"/>
  <c r="AW24" i="13"/>
  <c r="AX24" i="13"/>
  <c r="AY24" i="13"/>
  <c r="P23" i="13"/>
  <c r="AF23" i="13" s="1"/>
  <c r="AZ23" i="13" s="1"/>
  <c r="Q23" i="13"/>
  <c r="R23" i="13"/>
  <c r="S23" i="13"/>
  <c r="AI23" i="13" s="1"/>
  <c r="BC23" i="13" s="1"/>
  <c r="AV23" i="13"/>
  <c r="AW23" i="13"/>
  <c r="AX23" i="13"/>
  <c r="AY23" i="13"/>
  <c r="B33" i="13"/>
  <c r="C33" i="13"/>
  <c r="D33" i="13"/>
  <c r="E33" i="13"/>
  <c r="A37" i="13"/>
  <c r="B39" i="13"/>
  <c r="B40" i="13"/>
  <c r="Q6" i="12"/>
  <c r="R6" i="12"/>
  <c r="S6" i="12"/>
  <c r="Q7" i="12"/>
  <c r="R7" i="12"/>
  <c r="S7" i="12" s="1"/>
  <c r="Q8" i="12"/>
  <c r="R8" i="12"/>
  <c r="S8" i="12"/>
  <c r="Q9" i="12"/>
  <c r="R9" i="12"/>
  <c r="S9" i="12" s="1"/>
  <c r="F10" i="12"/>
  <c r="Q11" i="12"/>
  <c r="R11" i="12"/>
  <c r="F11" i="12"/>
  <c r="Q12" i="12"/>
  <c r="R12" i="12"/>
  <c r="W12" i="12" s="1"/>
  <c r="W17" i="12" s="1"/>
  <c r="Q13" i="12"/>
  <c r="R13" i="12"/>
  <c r="Q14" i="12"/>
  <c r="R14" i="12"/>
  <c r="V14" i="12" s="1"/>
  <c r="V19" i="12" s="1"/>
  <c r="S14" i="12"/>
  <c r="U14" i="12" s="1"/>
  <c r="U19" i="12" s="1"/>
  <c r="W14" i="12"/>
  <c r="W19" i="12" s="1"/>
  <c r="B14" i="12"/>
  <c r="C14" i="12"/>
  <c r="C15" i="12"/>
  <c r="D14" i="12"/>
  <c r="E14" i="12"/>
  <c r="E15" i="12"/>
  <c r="B15" i="12"/>
  <c r="D15" i="12"/>
  <c r="Q16" i="12"/>
  <c r="R16" i="12"/>
  <c r="Q17" i="12"/>
  <c r="R17" i="12"/>
  <c r="Q18" i="12"/>
  <c r="R18" i="12"/>
  <c r="Q19" i="12"/>
  <c r="R19" i="12"/>
  <c r="P22" i="12"/>
  <c r="AB22" i="12" s="1"/>
  <c r="Q22" i="12"/>
  <c r="Y22" i="12" s="1"/>
  <c r="R22" i="12"/>
  <c r="AH22" i="12" s="1"/>
  <c r="BB22" i="12" s="1"/>
  <c r="S22" i="12"/>
  <c r="AA22" i="12" s="1"/>
  <c r="AT22" i="12"/>
  <c r="AV22" i="12"/>
  <c r="AW22" i="12"/>
  <c r="AX22" i="12"/>
  <c r="AY22" i="12"/>
  <c r="BF22" i="12"/>
  <c r="BG22" i="12"/>
  <c r="P23" i="12"/>
  <c r="Q23" i="12"/>
  <c r="AG23" i="12" s="1"/>
  <c r="BA23" i="12" s="1"/>
  <c r="R23" i="12"/>
  <c r="V23" i="12" s="1"/>
  <c r="S23" i="12"/>
  <c r="W23" i="12" s="1"/>
  <c r="AU23" i="12"/>
  <c r="AV23" i="12"/>
  <c r="AW23" i="12"/>
  <c r="AX23" i="12"/>
  <c r="AY23" i="12"/>
  <c r="BE23" i="12"/>
  <c r="BG23" i="12"/>
  <c r="P24" i="12"/>
  <c r="T24" i="12" s="1"/>
  <c r="Q24" i="12"/>
  <c r="Y24" i="12" s="1"/>
  <c r="R24" i="12"/>
  <c r="S24" i="12"/>
  <c r="AI24" i="12" s="1"/>
  <c r="BC24" i="12" s="1"/>
  <c r="AV24" i="12"/>
  <c r="AW24" i="12"/>
  <c r="AX24" i="12"/>
  <c r="AY24" i="12"/>
  <c r="P25" i="12"/>
  <c r="X25" i="12" s="1"/>
  <c r="Q25" i="12"/>
  <c r="Y25" i="12" s="1"/>
  <c r="R25" i="12"/>
  <c r="V25" i="12" s="1"/>
  <c r="S25" i="12"/>
  <c r="AA25" i="12" s="1"/>
  <c r="AN25" i="12"/>
  <c r="AV25" i="12"/>
  <c r="AW25" i="12"/>
  <c r="AX25" i="12"/>
  <c r="AY25" i="12"/>
  <c r="P26" i="12"/>
  <c r="T26" i="12" s="1"/>
  <c r="Q26" i="12"/>
  <c r="Y26" i="12" s="1"/>
  <c r="R26" i="12"/>
  <c r="S26" i="12"/>
  <c r="AI26" i="12" s="1"/>
  <c r="BC26" i="12" s="1"/>
  <c r="AV26" i="12"/>
  <c r="AW26" i="12"/>
  <c r="AX26" i="12"/>
  <c r="AY26" i="12"/>
  <c r="P27" i="12"/>
  <c r="T27" i="12" s="1"/>
  <c r="Q27" i="12"/>
  <c r="U27" i="12" s="1"/>
  <c r="R27" i="12"/>
  <c r="V27" i="12" s="1"/>
  <c r="S27" i="12"/>
  <c r="AE27" i="12" s="1"/>
  <c r="AV27" i="12"/>
  <c r="AW27" i="12"/>
  <c r="AX27" i="12"/>
  <c r="AY27" i="12"/>
  <c r="P28" i="12"/>
  <c r="AN28" i="12" s="1"/>
  <c r="Q28" i="12"/>
  <c r="U28" i="12" s="1"/>
  <c r="R28" i="12"/>
  <c r="V28" i="12" s="1"/>
  <c r="S28" i="12"/>
  <c r="AV28" i="12"/>
  <c r="AW28" i="12"/>
  <c r="AX28" i="12"/>
  <c r="AY28" i="12"/>
  <c r="P29" i="12"/>
  <c r="X29" i="12" s="1"/>
  <c r="Q29" i="12"/>
  <c r="U29" i="12" s="1"/>
  <c r="R29" i="12"/>
  <c r="AL29" i="12" s="1"/>
  <c r="S29" i="12"/>
  <c r="W29" i="12" s="1"/>
  <c r="AV29" i="12"/>
  <c r="AW29" i="12"/>
  <c r="AX29" i="12"/>
  <c r="AY29" i="12"/>
  <c r="P30" i="12"/>
  <c r="T30" i="12" s="1"/>
  <c r="Q30" i="12"/>
  <c r="R30" i="12"/>
  <c r="S30" i="12"/>
  <c r="W30" i="12" s="1"/>
  <c r="AV30" i="12"/>
  <c r="AW30" i="12"/>
  <c r="AX30" i="12"/>
  <c r="AY30" i="12"/>
  <c r="P31" i="12"/>
  <c r="AB31" i="12" s="1"/>
  <c r="Q31" i="12"/>
  <c r="AG31" i="12" s="1"/>
  <c r="BA31" i="12" s="1"/>
  <c r="R31" i="12"/>
  <c r="AT31" i="12" s="1"/>
  <c r="S31" i="12"/>
  <c r="W31" i="12" s="1"/>
  <c r="V31" i="12"/>
  <c r="Z31" i="12"/>
  <c r="AD31" i="12"/>
  <c r="AI31" i="12"/>
  <c r="BC31" i="12" s="1"/>
  <c r="AL31" i="12"/>
  <c r="AP31" i="12"/>
  <c r="AQ31" i="12"/>
  <c r="AU31" i="12"/>
  <c r="AV31" i="12"/>
  <c r="AW31" i="12"/>
  <c r="AX31" i="12"/>
  <c r="AY31" i="12"/>
  <c r="P32" i="12"/>
  <c r="AF32" i="12" s="1"/>
  <c r="AZ32" i="12" s="1"/>
  <c r="Q32" i="12"/>
  <c r="BE32" i="12" s="1"/>
  <c r="R32" i="12"/>
  <c r="S32" i="12"/>
  <c r="W32" i="12" s="1"/>
  <c r="X32" i="12"/>
  <c r="AA32" i="12"/>
  <c r="AR32" i="12"/>
  <c r="AV32" i="12"/>
  <c r="AW32" i="12"/>
  <c r="AX32" i="12"/>
  <c r="AY32" i="12"/>
  <c r="B33" i="12"/>
  <c r="C33" i="12"/>
  <c r="D33" i="12"/>
  <c r="E33" i="12"/>
  <c r="A37" i="12"/>
  <c r="B39" i="12"/>
  <c r="B40" i="12"/>
  <c r="R5" i="11"/>
  <c r="S5" i="11"/>
  <c r="T5" i="11" s="1"/>
  <c r="R6" i="11"/>
  <c r="S6" i="11"/>
  <c r="T6" i="11"/>
  <c r="R7" i="11"/>
  <c r="S7" i="11"/>
  <c r="T7" i="11" s="1"/>
  <c r="Z7" i="11"/>
  <c r="R8" i="11"/>
  <c r="S8" i="11"/>
  <c r="T8" i="11" s="1"/>
  <c r="Z8" i="11"/>
  <c r="Z9" i="11"/>
  <c r="F10" i="11"/>
  <c r="R10" i="11"/>
  <c r="S10" i="11"/>
  <c r="W10" i="11"/>
  <c r="W15" i="11" s="1"/>
  <c r="F11" i="11"/>
  <c r="R11" i="11"/>
  <c r="S11" i="11"/>
  <c r="R12" i="11"/>
  <c r="S12" i="11"/>
  <c r="X12" i="11" s="1"/>
  <c r="X17" i="11" s="1"/>
  <c r="R13" i="11"/>
  <c r="S13" i="11"/>
  <c r="B14" i="11"/>
  <c r="B15" i="11"/>
  <c r="C14" i="11"/>
  <c r="C15" i="11"/>
  <c r="D14" i="11"/>
  <c r="D15" i="11" s="1"/>
  <c r="E14" i="11"/>
  <c r="E15" i="11"/>
  <c r="R15" i="11"/>
  <c r="S15" i="11"/>
  <c r="R16" i="11"/>
  <c r="S16" i="11"/>
  <c r="R17" i="11"/>
  <c r="S17" i="11"/>
  <c r="R18" i="11"/>
  <c r="S18" i="11"/>
  <c r="Q22" i="11"/>
  <c r="AC22" i="11" s="1"/>
  <c r="R22" i="11"/>
  <c r="S22" i="11"/>
  <c r="AA22" i="11" s="1"/>
  <c r="T22" i="11"/>
  <c r="AJ22" i="11" s="1"/>
  <c r="BD22" i="11" s="1"/>
  <c r="X22" i="11"/>
  <c r="U22" i="11"/>
  <c r="Y22" i="11"/>
  <c r="Z22" i="11"/>
  <c r="AE22" i="11"/>
  <c r="AF22" i="11"/>
  <c r="AG22" i="11"/>
  <c r="BA22" i="11" s="1"/>
  <c r="AH22" i="11"/>
  <c r="BB22" i="11" s="1"/>
  <c r="AI22" i="11"/>
  <c r="BC22" i="11" s="1"/>
  <c r="AL22" i="11"/>
  <c r="AM22" i="11"/>
  <c r="AN22" i="11"/>
  <c r="AO22" i="11"/>
  <c r="AQ22" i="11"/>
  <c r="AT22" i="11"/>
  <c r="AU22" i="11"/>
  <c r="AW22" i="11"/>
  <c r="AX22" i="11"/>
  <c r="AY22" i="11"/>
  <c r="AZ22" i="11"/>
  <c r="BE22" i="11"/>
  <c r="Q23" i="11"/>
  <c r="U23" i="11" s="1"/>
  <c r="R23" i="11"/>
  <c r="S23" i="11"/>
  <c r="AE23" i="11" s="1"/>
  <c r="T23" i="11"/>
  <c r="X23" i="11" s="1"/>
  <c r="AA23" i="11"/>
  <c r="AB23" i="11"/>
  <c r="AF23" i="11"/>
  <c r="AI23" i="11"/>
  <c r="AJ23" i="11"/>
  <c r="BD23" i="11" s="1"/>
  <c r="AN23" i="11"/>
  <c r="AR23" i="11"/>
  <c r="AS23" i="11"/>
  <c r="AU23" i="11"/>
  <c r="AV23" i="11"/>
  <c r="AW23" i="11"/>
  <c r="AX23" i="11"/>
  <c r="AY23" i="11"/>
  <c r="AZ23" i="11"/>
  <c r="BC23" i="11"/>
  <c r="BH23" i="11"/>
  <c r="Q24" i="11"/>
  <c r="BE24" i="11" s="1"/>
  <c r="R24" i="11"/>
  <c r="AP24" i="11" s="1"/>
  <c r="S24" i="11"/>
  <c r="T24" i="11"/>
  <c r="X24" i="11" s="1"/>
  <c r="Y24" i="11"/>
  <c r="AD24" i="11"/>
  <c r="AG24" i="11"/>
  <c r="BA24" i="11" s="1"/>
  <c r="AN24" i="11"/>
  <c r="AO24" i="11"/>
  <c r="AW24" i="11"/>
  <c r="AX24" i="11"/>
  <c r="AY24" i="11"/>
  <c r="AZ24" i="11"/>
  <c r="BG24" i="11"/>
  <c r="BH24" i="11"/>
  <c r="Q25" i="11"/>
  <c r="AC25" i="11" s="1"/>
  <c r="R25" i="11"/>
  <c r="V25" i="11" s="1"/>
  <c r="S25" i="11"/>
  <c r="AE25" i="11" s="1"/>
  <c r="T25" i="11"/>
  <c r="X25" i="11" s="1"/>
  <c r="W25" i="11"/>
  <c r="Y25" i="11"/>
  <c r="AA25" i="11"/>
  <c r="AI25" i="11"/>
  <c r="AJ25" i="11"/>
  <c r="BD25" i="11" s="1"/>
  <c r="AK25" i="11"/>
  <c r="AN25" i="11"/>
  <c r="AR25" i="11"/>
  <c r="AS25" i="11"/>
  <c r="AU25" i="11"/>
  <c r="AV25" i="11"/>
  <c r="AW25" i="11"/>
  <c r="AX25" i="11"/>
  <c r="AY25" i="11"/>
  <c r="AZ25" i="11"/>
  <c r="BC25" i="11"/>
  <c r="BE25" i="11"/>
  <c r="BH25" i="11"/>
  <c r="Q26" i="11"/>
  <c r="R26" i="11"/>
  <c r="V26" i="11" s="1"/>
  <c r="S26" i="11"/>
  <c r="AU26" i="11" s="1"/>
  <c r="T26" i="11"/>
  <c r="X26" i="11"/>
  <c r="W26" i="11"/>
  <c r="Z26" i="11"/>
  <c r="AA26" i="11"/>
  <c r="AD26" i="11"/>
  <c r="AE26" i="11"/>
  <c r="AF26" i="11"/>
  <c r="AH26" i="11"/>
  <c r="BB26" i="11" s="1"/>
  <c r="AI26" i="11"/>
  <c r="AL26" i="11"/>
  <c r="AM26" i="11"/>
  <c r="AP26" i="11"/>
  <c r="AQ26" i="11"/>
  <c r="AR26" i="11"/>
  <c r="AT26" i="11"/>
  <c r="AW26" i="11"/>
  <c r="AX26" i="11"/>
  <c r="AY26" i="11"/>
  <c r="AZ26" i="11"/>
  <c r="BC26" i="11"/>
  <c r="BG26" i="11"/>
  <c r="Q27" i="11"/>
  <c r="R27" i="11"/>
  <c r="BF27" i="11" s="1"/>
  <c r="S27" i="11"/>
  <c r="T27" i="11"/>
  <c r="AB27" i="11" s="1"/>
  <c r="U27" i="11"/>
  <c r="Y27" i="11"/>
  <c r="AC27" i="11"/>
  <c r="AG27" i="11"/>
  <c r="AK27" i="11"/>
  <c r="AM27" i="11"/>
  <c r="AN27" i="11"/>
  <c r="AO27" i="11"/>
  <c r="AS27" i="11"/>
  <c r="AW27" i="11"/>
  <c r="AX27" i="11"/>
  <c r="AY27" i="11"/>
  <c r="AZ27" i="11"/>
  <c r="BA27" i="11"/>
  <c r="BE27" i="11"/>
  <c r="BH27" i="11"/>
  <c r="Q28" i="11"/>
  <c r="AG28" i="11" s="1"/>
  <c r="BA28" i="11" s="1"/>
  <c r="R28" i="11"/>
  <c r="V28" i="11" s="1"/>
  <c r="S28" i="11"/>
  <c r="W28" i="11" s="1"/>
  <c r="T28" i="11"/>
  <c r="X28" i="11" s="1"/>
  <c r="Z28" i="11"/>
  <c r="AA28" i="11"/>
  <c r="AB28" i="11"/>
  <c r="AD28" i="11"/>
  <c r="AH28" i="11"/>
  <c r="BB28" i="11" s="1"/>
  <c r="AJ28" i="11"/>
  <c r="AL28" i="11"/>
  <c r="AM28" i="11"/>
  <c r="AN28" i="11"/>
  <c r="AP28" i="11"/>
  <c r="AT28" i="11"/>
  <c r="AU28" i="11"/>
  <c r="AV28" i="11"/>
  <c r="AW28" i="11"/>
  <c r="AX28" i="11"/>
  <c r="AY28" i="11"/>
  <c r="AZ28" i="11"/>
  <c r="BD28" i="11"/>
  <c r="BF28" i="11"/>
  <c r="BG28" i="11"/>
  <c r="Q29" i="11"/>
  <c r="AK29" i="11" s="1"/>
  <c r="R29" i="11"/>
  <c r="AH29" i="11" s="1"/>
  <c r="BB29" i="11" s="1"/>
  <c r="S29" i="11"/>
  <c r="T29" i="11"/>
  <c r="AB29" i="11" s="1"/>
  <c r="U29" i="11"/>
  <c r="W29" i="11"/>
  <c r="X29" i="11"/>
  <c r="Z29" i="11"/>
  <c r="AA29" i="11"/>
  <c r="AE29" i="11"/>
  <c r="AF29" i="11"/>
  <c r="AG29" i="11"/>
  <c r="BA29" i="11" s="1"/>
  <c r="AI29" i="11"/>
  <c r="AJ29" i="11"/>
  <c r="AM29" i="11"/>
  <c r="AN29" i="11"/>
  <c r="AO29" i="11"/>
  <c r="AQ29" i="11"/>
  <c r="AS29" i="11"/>
  <c r="AU29" i="11"/>
  <c r="AW29" i="11"/>
  <c r="AX29" i="11"/>
  <c r="AY29" i="11"/>
  <c r="AZ29" i="11"/>
  <c r="BC29" i="11"/>
  <c r="BD29" i="11"/>
  <c r="BG29" i="11"/>
  <c r="BH29" i="11"/>
  <c r="Q30" i="11"/>
  <c r="R30" i="11"/>
  <c r="V30" i="11" s="1"/>
  <c r="S30" i="11"/>
  <c r="AI30" i="11" s="1"/>
  <c r="T30" i="11"/>
  <c r="AA30" i="11"/>
  <c r="AD30" i="11"/>
  <c r="AE30" i="11"/>
  <c r="AH30" i="11"/>
  <c r="BB30" i="11" s="1"/>
  <c r="AM30" i="11"/>
  <c r="AQ30" i="11"/>
  <c r="AR30" i="11"/>
  <c r="AT30" i="11"/>
  <c r="AU30" i="11"/>
  <c r="AW30" i="11"/>
  <c r="AX30" i="11"/>
  <c r="AY30" i="11"/>
  <c r="AZ30" i="11"/>
  <c r="BF30" i="11"/>
  <c r="BG30" i="11"/>
  <c r="Q31" i="11"/>
  <c r="R31" i="11"/>
  <c r="V31" i="11" s="1"/>
  <c r="S31" i="11"/>
  <c r="W31" i="11" s="1"/>
  <c r="T31" i="11"/>
  <c r="X31" i="11" s="1"/>
  <c r="Z31" i="11"/>
  <c r="AA31" i="11"/>
  <c r="AB31" i="11"/>
  <c r="AD31" i="11"/>
  <c r="AE31" i="11"/>
  <c r="AI31" i="11"/>
  <c r="BC31" i="11" s="1"/>
  <c r="AJ31" i="11"/>
  <c r="BD31" i="11" s="1"/>
  <c r="AL31" i="11"/>
  <c r="AM31" i="11"/>
  <c r="AP31" i="11"/>
  <c r="AQ31" i="11"/>
  <c r="AT31" i="11"/>
  <c r="AU31" i="11"/>
  <c r="AW31" i="11"/>
  <c r="AX31" i="11"/>
  <c r="AY31" i="11"/>
  <c r="AZ31" i="11"/>
  <c r="BF31" i="11"/>
  <c r="BG31" i="11"/>
  <c r="BH31" i="11"/>
  <c r="Q32" i="11"/>
  <c r="R32" i="11"/>
  <c r="V32" i="11" s="1"/>
  <c r="S32" i="11"/>
  <c r="AM32" i="11" s="1"/>
  <c r="T32" i="11"/>
  <c r="X32" i="11" s="1"/>
  <c r="U32" i="11"/>
  <c r="W32" i="11"/>
  <c r="Y32" i="11"/>
  <c r="Z32" i="11"/>
  <c r="AB32" i="11"/>
  <c r="AC32" i="11"/>
  <c r="AE32" i="11"/>
  <c r="AG32" i="11"/>
  <c r="BA32" i="11" s="1"/>
  <c r="AH32" i="11"/>
  <c r="AI32" i="11"/>
  <c r="BC32" i="11" s="1"/>
  <c r="AJ32" i="11"/>
  <c r="BD32" i="11" s="1"/>
  <c r="AK32" i="11"/>
  <c r="AL32" i="11"/>
  <c r="AO32" i="11"/>
  <c r="AP32" i="11"/>
  <c r="AQ32" i="11"/>
  <c r="AR32" i="11"/>
  <c r="AS32" i="11"/>
  <c r="AT32" i="11"/>
  <c r="AU32" i="11"/>
  <c r="AW32" i="11"/>
  <c r="AX32" i="11"/>
  <c r="AY32" i="11"/>
  <c r="AZ32" i="11"/>
  <c r="AZ33" i="11" s="1"/>
  <c r="N54" i="11" s="1"/>
  <c r="N55" i="11" s="1"/>
  <c r="BB32" i="11"/>
  <c r="BE32" i="11"/>
  <c r="BF32" i="11"/>
  <c r="BH32" i="11"/>
  <c r="B33" i="11"/>
  <c r="C33" i="11"/>
  <c r="D33" i="11"/>
  <c r="E33" i="11"/>
  <c r="A37" i="11"/>
  <c r="B39" i="11"/>
  <c r="B40" i="11"/>
  <c r="R5" i="10"/>
  <c r="S5" i="10"/>
  <c r="T5" i="10" s="1"/>
  <c r="R6" i="10"/>
  <c r="S6" i="10"/>
  <c r="T6" i="10"/>
  <c r="R7" i="10"/>
  <c r="S7" i="10"/>
  <c r="T7" i="10"/>
  <c r="Z7" i="10"/>
  <c r="R8" i="10"/>
  <c r="S8" i="10"/>
  <c r="T8" i="10"/>
  <c r="Z8" i="10"/>
  <c r="Z9" i="10"/>
  <c r="F10" i="10"/>
  <c r="R10" i="10"/>
  <c r="S10" i="10"/>
  <c r="F11" i="10"/>
  <c r="R11" i="10"/>
  <c r="S11" i="10"/>
  <c r="W11" i="10" s="1"/>
  <c r="W16" i="10" s="1"/>
  <c r="T11" i="10"/>
  <c r="R12" i="10"/>
  <c r="S12" i="10"/>
  <c r="W12" i="10"/>
  <c r="W17" i="10" s="1"/>
  <c r="R13" i="10"/>
  <c r="S13" i="10"/>
  <c r="B14" i="10"/>
  <c r="B15" i="10" s="1"/>
  <c r="C14" i="10"/>
  <c r="C15" i="10" s="1"/>
  <c r="D14" i="10"/>
  <c r="D15" i="10" s="1"/>
  <c r="E14" i="10"/>
  <c r="E15" i="10"/>
  <c r="R15" i="10"/>
  <c r="S15" i="10"/>
  <c r="R16" i="10"/>
  <c r="S16" i="10"/>
  <c r="R17" i="10"/>
  <c r="S17" i="10"/>
  <c r="R18" i="10"/>
  <c r="S18" i="10"/>
  <c r="Q22" i="10"/>
  <c r="U22" i="10" s="1"/>
  <c r="R22" i="10"/>
  <c r="AH22" i="10" s="1"/>
  <c r="BB22" i="10" s="1"/>
  <c r="S22" i="10"/>
  <c r="T22" i="10"/>
  <c r="AF22" i="10" s="1"/>
  <c r="V22" i="10"/>
  <c r="Y22" i="10"/>
  <c r="Z22" i="10"/>
  <c r="AD22" i="10"/>
  <c r="AG22" i="10"/>
  <c r="AK22" i="10"/>
  <c r="AL22" i="10"/>
  <c r="AO22" i="10"/>
  <c r="AP22" i="10"/>
  <c r="AR22" i="10"/>
  <c r="AT22" i="10"/>
  <c r="AW22" i="10"/>
  <c r="AX22" i="10"/>
  <c r="AY22" i="10"/>
  <c r="AZ22" i="10"/>
  <c r="BA22" i="10"/>
  <c r="BE22" i="10"/>
  <c r="BF22" i="10"/>
  <c r="Q23" i="10"/>
  <c r="U23" i="10" s="1"/>
  <c r="R23" i="10"/>
  <c r="S23" i="10"/>
  <c r="T23" i="10"/>
  <c r="Y23" i="10"/>
  <c r="AB23" i="10"/>
  <c r="AC23" i="10"/>
  <c r="AD23" i="10"/>
  <c r="AG23" i="10"/>
  <c r="AK23" i="10"/>
  <c r="AN23" i="10"/>
  <c r="AO23" i="10"/>
  <c r="AP23" i="10"/>
  <c r="AS23" i="10"/>
  <c r="AW23" i="10"/>
  <c r="AX23" i="10"/>
  <c r="AY23" i="10"/>
  <c r="AZ23" i="10"/>
  <c r="BE23" i="10"/>
  <c r="Q24" i="10"/>
  <c r="R24" i="10"/>
  <c r="AD24" i="10" s="1"/>
  <c r="S24" i="10"/>
  <c r="AE24" i="10" s="1"/>
  <c r="T24" i="10"/>
  <c r="U24" i="10"/>
  <c r="Y24" i="10"/>
  <c r="AW24" i="10"/>
  <c r="AX24" i="10"/>
  <c r="AY24" i="10"/>
  <c r="AZ24" i="10"/>
  <c r="Q25" i="10"/>
  <c r="U25" i="10" s="1"/>
  <c r="R25" i="10"/>
  <c r="AD25" i="10" s="1"/>
  <c r="S25" i="10"/>
  <c r="T25" i="10"/>
  <c r="AR25" i="10" s="1"/>
  <c r="X25" i="10"/>
  <c r="V25" i="10"/>
  <c r="Y25" i="10"/>
  <c r="AC25" i="10"/>
  <c r="AF25" i="10"/>
  <c r="AG25" i="10"/>
  <c r="BA25" i="10" s="1"/>
  <c r="AH25" i="10"/>
  <c r="BB25" i="10" s="1"/>
  <c r="AK25" i="10"/>
  <c r="AO25" i="10"/>
  <c r="AP25" i="10"/>
  <c r="AS25" i="10"/>
  <c r="AV25" i="10"/>
  <c r="AW25" i="10"/>
  <c r="AX25" i="10"/>
  <c r="AY25" i="10"/>
  <c r="AZ25" i="10"/>
  <c r="BE25" i="10"/>
  <c r="BF25" i="10"/>
  <c r="Q26" i="10"/>
  <c r="Y26" i="10" s="1"/>
  <c r="R26" i="10"/>
  <c r="AD26" i="10" s="1"/>
  <c r="S26" i="10"/>
  <c r="W26" i="10" s="1"/>
  <c r="T26" i="10"/>
  <c r="AN26" i="10" s="1"/>
  <c r="X26" i="10"/>
  <c r="U26" i="10"/>
  <c r="V26" i="10"/>
  <c r="AB26" i="10"/>
  <c r="AC26" i="10"/>
  <c r="AE26" i="10"/>
  <c r="AF26" i="10"/>
  <c r="AG26" i="10"/>
  <c r="AH26" i="10"/>
  <c r="BB26" i="10" s="1"/>
  <c r="AK26" i="10"/>
  <c r="AM26" i="10"/>
  <c r="AO26" i="10"/>
  <c r="AP26" i="10"/>
  <c r="AR26" i="10"/>
  <c r="AS26" i="10"/>
  <c r="AV26" i="10"/>
  <c r="AW26" i="10"/>
  <c r="AX26" i="10"/>
  <c r="AY26" i="10"/>
  <c r="AZ26" i="10"/>
  <c r="BA26" i="10"/>
  <c r="BH26" i="10"/>
  <c r="Q27" i="10"/>
  <c r="AC27" i="10" s="1"/>
  <c r="R27" i="10"/>
  <c r="AP27" i="10" s="1"/>
  <c r="S27" i="10"/>
  <c r="AA27" i="10" s="1"/>
  <c r="T27" i="10"/>
  <c r="X27" i="10"/>
  <c r="Y27" i="10"/>
  <c r="Z27" i="10"/>
  <c r="AG27" i="10"/>
  <c r="BA27" i="10" s="1"/>
  <c r="AK27" i="10"/>
  <c r="AL27" i="10"/>
  <c r="AO27" i="10"/>
  <c r="AS27" i="10"/>
  <c r="AW27" i="10"/>
  <c r="AX27" i="10"/>
  <c r="AY27" i="10"/>
  <c r="AZ27" i="10"/>
  <c r="BE27" i="10"/>
  <c r="BF27" i="10"/>
  <c r="Q28" i="10"/>
  <c r="AC28" i="10" s="1"/>
  <c r="R28" i="10"/>
  <c r="AL28" i="10" s="1"/>
  <c r="S28" i="10"/>
  <c r="AE28" i="10" s="1"/>
  <c r="T28" i="10"/>
  <c r="X28" i="10"/>
  <c r="U28" i="10"/>
  <c r="Y28" i="10"/>
  <c r="Z28" i="10"/>
  <c r="AG28" i="10"/>
  <c r="BA28" i="10" s="1"/>
  <c r="AK28" i="10"/>
  <c r="AO28" i="10"/>
  <c r="AQ28" i="10"/>
  <c r="AS28" i="10"/>
  <c r="AW28" i="10"/>
  <c r="AX28" i="10"/>
  <c r="AY28" i="10"/>
  <c r="AZ28" i="10"/>
  <c r="BE28" i="10"/>
  <c r="Q29" i="10"/>
  <c r="AS29" i="10" s="1"/>
  <c r="R29" i="10"/>
  <c r="S29" i="10"/>
  <c r="T29" i="10"/>
  <c r="X29" i="10" s="1"/>
  <c r="AE29" i="10"/>
  <c r="AI29" i="10"/>
  <c r="BC29" i="10" s="1"/>
  <c r="AR29" i="10"/>
  <c r="AV29" i="10"/>
  <c r="AW29" i="10"/>
  <c r="AX29" i="10"/>
  <c r="AY29" i="10"/>
  <c r="AZ29" i="10"/>
  <c r="BF29" i="10"/>
  <c r="BH29" i="10"/>
  <c r="Q30" i="10"/>
  <c r="R30" i="10"/>
  <c r="S30" i="10"/>
  <c r="W30" i="10" s="1"/>
  <c r="T30" i="10"/>
  <c r="V30" i="10"/>
  <c r="Y30" i="10"/>
  <c r="AA30" i="10"/>
  <c r="AH30" i="10"/>
  <c r="BB30" i="10" s="1"/>
  <c r="AM30" i="10"/>
  <c r="AO30" i="10"/>
  <c r="AQ30" i="10"/>
  <c r="AT30" i="10"/>
  <c r="AU30" i="10"/>
  <c r="AW30" i="10"/>
  <c r="AX30" i="10"/>
  <c r="AY30" i="10"/>
  <c r="AZ30" i="10"/>
  <c r="BE30" i="10"/>
  <c r="BG30" i="10"/>
  <c r="Q31" i="10"/>
  <c r="R31" i="10"/>
  <c r="AD31" i="10" s="1"/>
  <c r="S31" i="10"/>
  <c r="T31" i="10"/>
  <c r="X31" i="10" s="1"/>
  <c r="AC31" i="10"/>
  <c r="AF31" i="10"/>
  <c r="AJ31" i="10"/>
  <c r="AV31" i="10"/>
  <c r="AW31" i="10"/>
  <c r="AX31" i="10"/>
  <c r="AY31" i="10"/>
  <c r="AZ31" i="10"/>
  <c r="BD31" i="10"/>
  <c r="BH31" i="10"/>
  <c r="Q32" i="10"/>
  <c r="AC32" i="10" s="1"/>
  <c r="R32" i="10"/>
  <c r="S32" i="10"/>
  <c r="T32" i="10"/>
  <c r="X32" i="10"/>
  <c r="Y32" i="10"/>
  <c r="AG32" i="10"/>
  <c r="AK32" i="10"/>
  <c r="AO32" i="10"/>
  <c r="AP32" i="10"/>
  <c r="AW32" i="10"/>
  <c r="AX32" i="10"/>
  <c r="AY32" i="10"/>
  <c r="AZ32" i="10"/>
  <c r="BA32" i="10"/>
  <c r="BE32" i="10"/>
  <c r="B33" i="10"/>
  <c r="C33" i="10"/>
  <c r="D33" i="10"/>
  <c r="E33" i="10"/>
  <c r="A37" i="10"/>
  <c r="B39" i="10"/>
  <c r="B40" i="10"/>
  <c r="X13" i="10"/>
  <c r="X18" i="10" s="1"/>
  <c r="X11" i="10"/>
  <c r="X16" i="10" s="1"/>
  <c r="X10" i="10"/>
  <c r="X15" i="10" s="1"/>
  <c r="W13" i="12"/>
  <c r="W18" i="12" s="1"/>
  <c r="W12" i="13"/>
  <c r="W17" i="13" s="1"/>
  <c r="AB24" i="10"/>
  <c r="W13" i="13"/>
  <c r="W18" i="13" s="1"/>
  <c r="BH32" i="10"/>
  <c r="AV32" i="10"/>
  <c r="AR32" i="10"/>
  <c r="AN32" i="10"/>
  <c r="AJ32" i="10"/>
  <c r="BD32" i="10" s="1"/>
  <c r="AF32" i="10"/>
  <c r="AB32" i="10"/>
  <c r="BH27" i="10"/>
  <c r="AV27" i="10"/>
  <c r="AR27" i="10"/>
  <c r="AN27" i="10"/>
  <c r="AJ27" i="10"/>
  <c r="BD27" i="10" s="1"/>
  <c r="AF27" i="10"/>
  <c r="AB27" i="10"/>
  <c r="BH28" i="10"/>
  <c r="AV28" i="10"/>
  <c r="AR28" i="10"/>
  <c r="AN28" i="10"/>
  <c r="AJ28" i="10"/>
  <c r="BD28" i="10" s="1"/>
  <c r="AF28" i="10"/>
  <c r="AB28" i="10"/>
  <c r="T13" i="10"/>
  <c r="T18" i="10" s="1"/>
  <c r="W13" i="10"/>
  <c r="T12" i="10"/>
  <c r="T17" i="10" s="1"/>
  <c r="V12" i="10"/>
  <c r="V17" i="10" s="1"/>
  <c r="X12" i="10"/>
  <c r="X17" i="10" s="1"/>
  <c r="T4" i="10"/>
  <c r="T13" i="11"/>
  <c r="V13" i="11" s="1"/>
  <c r="V18" i="11" s="1"/>
  <c r="W13" i="11"/>
  <c r="X13" i="11"/>
  <c r="X18" i="11" s="1"/>
  <c r="T11" i="11"/>
  <c r="V11" i="11" s="1"/>
  <c r="V16" i="11" s="1"/>
  <c r="W11" i="11"/>
  <c r="S11" i="12"/>
  <c r="T11" i="12" s="1"/>
  <c r="T16" i="12" s="1"/>
  <c r="V11" i="12"/>
  <c r="V16" i="12" s="1"/>
  <c r="W11" i="12"/>
  <c r="S14" i="13"/>
  <c r="S19" i="13" s="1"/>
  <c r="X11" i="11"/>
  <c r="X16" i="11"/>
  <c r="T10" i="11"/>
  <c r="T15" i="11" s="1"/>
  <c r="X10" i="11"/>
  <c r="X15" i="11" s="1"/>
  <c r="S13" i="12"/>
  <c r="V13" i="12"/>
  <c r="V18" i="12" s="1"/>
  <c r="T12" i="11"/>
  <c r="T17" i="11" s="1"/>
  <c r="X9" i="11"/>
  <c r="U12" i="11"/>
  <c r="U17" i="11" s="1"/>
  <c r="U13" i="11"/>
  <c r="U18" i="11" s="1"/>
  <c r="U11" i="11"/>
  <c r="U16" i="11" s="1"/>
  <c r="W16" i="11"/>
  <c r="W18" i="11"/>
  <c r="W18" i="10"/>
  <c r="AO29" i="12" l="1"/>
  <c r="AQ29" i="12"/>
  <c r="AM29" i="12"/>
  <c r="AA29" i="12"/>
  <c r="BE29" i="12"/>
  <c r="BF28" i="12"/>
  <c r="AT28" i="12"/>
  <c r="AS28" i="12"/>
  <c r="AO28" i="12"/>
  <c r="BE28" i="12"/>
  <c r="AK28" i="12"/>
  <c r="Y28" i="12"/>
  <c r="AO25" i="12"/>
  <c r="AS24" i="12"/>
  <c r="U24" i="12"/>
  <c r="AN24" i="12"/>
  <c r="AF22" i="12"/>
  <c r="AZ22" i="12" s="1"/>
  <c r="W25" i="12"/>
  <c r="BD25" i="12"/>
  <c r="AL22" i="12"/>
  <c r="V22" i="12"/>
  <c r="AC22" i="12"/>
  <c r="AK22" i="12"/>
  <c r="U22" i="12"/>
  <c r="AS22" i="12"/>
  <c r="AO22" i="12"/>
  <c r="AR22" i="12"/>
  <c r="BD22" i="12"/>
  <c r="AN22" i="12"/>
  <c r="AF28" i="12"/>
  <c r="AZ28" i="12" s="1"/>
  <c r="V12" i="12"/>
  <c r="V17" i="12" s="1"/>
  <c r="BF29" i="12"/>
  <c r="AB28" i="12"/>
  <c r="BD27" i="12"/>
  <c r="AS26" i="12"/>
  <c r="AQ26" i="12"/>
  <c r="AU32" i="12"/>
  <c r="X28" i="12"/>
  <c r="BG26" i="12"/>
  <c r="AO26" i="12"/>
  <c r="AG29" i="12"/>
  <c r="BA29" i="12" s="1"/>
  <c r="AR28" i="12"/>
  <c r="T28" i="12"/>
  <c r="BE26" i="12"/>
  <c r="AN26" i="12"/>
  <c r="BE25" i="12"/>
  <c r="AH25" i="12"/>
  <c r="BB25" i="12" s="1"/>
  <c r="BG32" i="12"/>
  <c r="AQ32" i="12"/>
  <c r="BD28" i="12"/>
  <c r="AK26" i="12"/>
  <c r="AG25" i="12"/>
  <c r="BA25" i="12" s="1"/>
  <c r="BE24" i="12"/>
  <c r="AC24" i="12"/>
  <c r="BD32" i="12"/>
  <c r="AN32" i="12"/>
  <c r="BG31" i="12"/>
  <c r="Y29" i="12"/>
  <c r="AG27" i="12"/>
  <c r="BA27" i="12" s="1"/>
  <c r="AB26" i="12"/>
  <c r="AF25" i="12"/>
  <c r="AZ25" i="12" s="1"/>
  <c r="BD24" i="12"/>
  <c r="AA24" i="12"/>
  <c r="AE32" i="12"/>
  <c r="AM31" i="12"/>
  <c r="AS29" i="12"/>
  <c r="AJ28" i="12"/>
  <c r="AA26" i="12"/>
  <c r="X24" i="12"/>
  <c r="AU22" i="12"/>
  <c r="S12" i="12"/>
  <c r="S17" i="12" s="1"/>
  <c r="W10" i="12"/>
  <c r="W15" i="12" s="1"/>
  <c r="S19" i="12"/>
  <c r="U13" i="12"/>
  <c r="U18" i="12" s="1"/>
  <c r="S11" i="13"/>
  <c r="S16" i="13" s="1"/>
  <c r="T11" i="13"/>
  <c r="T16" i="13" s="1"/>
  <c r="AD23" i="13"/>
  <c r="Z24" i="13"/>
  <c r="AD24" i="13"/>
  <c r="V25" i="13"/>
  <c r="AD25" i="13"/>
  <c r="AH22" i="13"/>
  <c r="AD22" i="13"/>
  <c r="S10" i="12"/>
  <c r="AY33" i="11"/>
  <c r="AM30" i="12"/>
  <c r="AE30" i="12"/>
  <c r="AB30" i="12"/>
  <c r="X30" i="12"/>
  <c r="AB27" i="12"/>
  <c r="AP23" i="12"/>
  <c r="X27" i="12"/>
  <c r="AI23" i="12"/>
  <c r="BC23" i="12" s="1"/>
  <c r="AF27" i="12"/>
  <c r="AZ27" i="12" s="1"/>
  <c r="AR30" i="12"/>
  <c r="AH23" i="12"/>
  <c r="BB23" i="12" s="1"/>
  <c r="BF23" i="12"/>
  <c r="AI32" i="12"/>
  <c r="BC32" i="12" s="1"/>
  <c r="AH31" i="12"/>
  <c r="BB31" i="12" s="1"/>
  <c r="T31" i="12"/>
  <c r="AN30" i="12"/>
  <c r="AI29" i="12"/>
  <c r="BC29" i="12" s="1"/>
  <c r="AG28" i="12"/>
  <c r="BA28" i="12" s="1"/>
  <c r="AR27" i="12"/>
  <c r="Z25" i="12"/>
  <c r="BG24" i="12"/>
  <c r="AQ24" i="12"/>
  <c r="AE23" i="12"/>
  <c r="T22" i="12"/>
  <c r="AN27" i="12"/>
  <c r="AG26" i="12"/>
  <c r="BA26" i="12" s="1"/>
  <c r="BG25" i="12"/>
  <c r="AU25" i="12"/>
  <c r="AA23" i="12"/>
  <c r="AQ23" i="12"/>
  <c r="AB32" i="12"/>
  <c r="BF31" i="12"/>
  <c r="AA31" i="12"/>
  <c r="BD30" i="12"/>
  <c r="AJ30" i="12"/>
  <c r="BG29" i="12"/>
  <c r="AU29" i="12"/>
  <c r="AE29" i="12"/>
  <c r="AC28" i="12"/>
  <c r="AJ27" i="12"/>
  <c r="AC26" i="12"/>
  <c r="BF25" i="12"/>
  <c r="AP25" i="12"/>
  <c r="AK24" i="12"/>
  <c r="Z23" i="12"/>
  <c r="X22" i="12"/>
  <c r="M54" i="11"/>
  <c r="M55" i="11" s="1"/>
  <c r="S16" i="12"/>
  <c r="S18" i="12"/>
  <c r="AA32" i="10"/>
  <c r="AQ32" i="10"/>
  <c r="AG30" i="10"/>
  <c r="BA30" i="10" s="1"/>
  <c r="U30" i="10"/>
  <c r="AK30" i="10"/>
  <c r="AS30" i="10"/>
  <c r="AU28" i="10"/>
  <c r="BE30" i="11"/>
  <c r="Y30" i="11"/>
  <c r="AO30" i="11"/>
  <c r="AK30" i="11"/>
  <c r="AI27" i="11"/>
  <c r="BC27" i="11" s="1"/>
  <c r="AU27" i="11"/>
  <c r="AA27" i="11"/>
  <c r="AE27" i="11"/>
  <c r="W27" i="11"/>
  <c r="AQ27" i="11"/>
  <c r="AL32" i="10"/>
  <c r="BF32" i="10"/>
  <c r="AH31" i="10"/>
  <c r="BB31" i="10" s="1"/>
  <c r="AC30" i="10"/>
  <c r="V29" i="10"/>
  <c r="AL29" i="10"/>
  <c r="AP29" i="10"/>
  <c r="AD29" i="10"/>
  <c r="AH23" i="10"/>
  <c r="V23" i="10"/>
  <c r="AT23" i="10"/>
  <c r="BF23" i="10"/>
  <c r="Z23" i="10"/>
  <c r="AL23" i="10"/>
  <c r="AV26" i="11"/>
  <c r="AB26" i="11"/>
  <c r="BH26" i="11"/>
  <c r="AN26" i="11"/>
  <c r="AJ26" i="11"/>
  <c r="BD26" i="11" s="1"/>
  <c r="W24" i="11"/>
  <c r="AI24" i="11"/>
  <c r="BC24" i="11" s="1"/>
  <c r="AU24" i="11"/>
  <c r="AU33" i="11" s="1"/>
  <c r="AA24" i="11"/>
  <c r="AM24" i="11"/>
  <c r="AQ24" i="11"/>
  <c r="AH30" i="12"/>
  <c r="BB30" i="12" s="1"/>
  <c r="AT30" i="12"/>
  <c r="Z30" i="12"/>
  <c r="BF30" i="12"/>
  <c r="AL30" i="12"/>
  <c r="AP30" i="12"/>
  <c r="V30" i="12"/>
  <c r="W28" i="12"/>
  <c r="AQ28" i="12"/>
  <c r="AI28" i="12"/>
  <c r="BC28" i="12" s="1"/>
  <c r="AA28" i="12"/>
  <c r="BG28" i="12"/>
  <c r="Y31" i="10"/>
  <c r="AK31" i="10"/>
  <c r="AG31" i="10"/>
  <c r="BA31" i="10" s="1"/>
  <c r="AS31" i="10"/>
  <c r="BE31" i="10"/>
  <c r="AW33" i="10"/>
  <c r="U29" i="10"/>
  <c r="AC29" i="10"/>
  <c r="BE29" i="10"/>
  <c r="AK29" i="10"/>
  <c r="T9" i="11"/>
  <c r="U12" i="10"/>
  <c r="U17" i="10" s="1"/>
  <c r="V10" i="11"/>
  <c r="V15" i="11" s="1"/>
  <c r="Z32" i="10"/>
  <c r="BF31" i="10"/>
  <c r="AR31" i="10"/>
  <c r="AB31" i="10"/>
  <c r="AG29" i="10"/>
  <c r="BA29" i="10" s="1"/>
  <c r="AJ24" i="10"/>
  <c r="BD24" i="10" s="1"/>
  <c r="AR24" i="10"/>
  <c r="BH24" i="10"/>
  <c r="AV24" i="10"/>
  <c r="X24" i="10"/>
  <c r="AP31" i="10"/>
  <c r="Z31" i="10"/>
  <c r="AB30" i="10"/>
  <c r="BH30" i="10"/>
  <c r="AQ24" i="10"/>
  <c r="BG24" i="10"/>
  <c r="W24" i="10"/>
  <c r="AU24" i="10"/>
  <c r="AA24" i="10"/>
  <c r="AM24" i="10"/>
  <c r="V11" i="10"/>
  <c r="V16" i="10" s="1"/>
  <c r="AC31" i="11"/>
  <c r="AG31" i="11"/>
  <c r="BA31" i="11" s="1"/>
  <c r="U31" i="11"/>
  <c r="Y31" i="11"/>
  <c r="BE31" i="11"/>
  <c r="AO31" i="11"/>
  <c r="AE24" i="11"/>
  <c r="AD30" i="12"/>
  <c r="T13" i="12"/>
  <c r="T18" i="12" s="1"/>
  <c r="U11" i="12"/>
  <c r="U16" i="12" s="1"/>
  <c r="W16" i="12"/>
  <c r="AO31" i="10"/>
  <c r="V31" i="10"/>
  <c r="Y29" i="10"/>
  <c r="Y33" i="10" s="1"/>
  <c r="AJ22" i="10"/>
  <c r="BD22" i="10" s="1"/>
  <c r="AV22" i="10"/>
  <c r="AB22" i="10"/>
  <c r="BH22" i="10"/>
  <c r="AN22" i="10"/>
  <c r="X22" i="10"/>
  <c r="BG27" i="11"/>
  <c r="V23" i="11"/>
  <c r="BF23" i="11"/>
  <c r="AP23" i="11"/>
  <c r="AH23" i="11"/>
  <c r="BB23" i="11" s="1"/>
  <c r="Z23" i="11"/>
  <c r="AO29" i="10"/>
  <c r="X23" i="12"/>
  <c r="AN23" i="12"/>
  <c r="BD23" i="12"/>
  <c r="AF23" i="12"/>
  <c r="AZ23" i="12" s="1"/>
  <c r="AU32" i="10"/>
  <c r="AN31" i="10"/>
  <c r="U31" i="10"/>
  <c r="AN25" i="10"/>
  <c r="AB25" i="10"/>
  <c r="AJ25" i="10"/>
  <c r="BD25" i="10" s="1"/>
  <c r="BH25" i="10"/>
  <c r="AI24" i="10"/>
  <c r="BC24" i="10" s="1"/>
  <c r="X23" i="10"/>
  <c r="AJ23" i="10"/>
  <c r="BD23" i="10" s="1"/>
  <c r="AV23" i="10"/>
  <c r="BH23" i="10"/>
  <c r="AF23" i="10"/>
  <c r="AR23" i="10"/>
  <c r="X27" i="11"/>
  <c r="AR27" i="11"/>
  <c r="AJ27" i="11"/>
  <c r="BD27" i="11" s="1"/>
  <c r="AV27" i="11"/>
  <c r="AF27" i="11"/>
  <c r="U32" i="10"/>
  <c r="AE30" i="10"/>
  <c r="U27" i="10"/>
  <c r="BE26" i="10"/>
  <c r="AU26" i="10"/>
  <c r="AJ26" i="10"/>
  <c r="BD26" i="10" s="1"/>
  <c r="AS22" i="10"/>
  <c r="AA32" i="11"/>
  <c r="AA33" i="11" s="1"/>
  <c r="AR29" i="11"/>
  <c r="Y29" i="11"/>
  <c r="BH28" i="11"/>
  <c r="AO28" i="11"/>
  <c r="AF28" i="11"/>
  <c r="BG25" i="11"/>
  <c r="AM25" i="11"/>
  <c r="AB25" i="11"/>
  <c r="AR24" i="11"/>
  <c r="AH24" i="11"/>
  <c r="BB24" i="11" s="1"/>
  <c r="V24" i="11"/>
  <c r="BE23" i="11"/>
  <c r="AM23" i="11"/>
  <c r="AC23" i="11"/>
  <c r="AR22" i="11"/>
  <c r="W22" i="11"/>
  <c r="T32" i="12"/>
  <c r="AO31" i="12"/>
  <c r="AE31" i="12"/>
  <c r="AQ30" i="12"/>
  <c r="AF30" i="12"/>
  <c r="AZ30" i="12" s="1"/>
  <c r="AC29" i="12"/>
  <c r="AD28" i="12"/>
  <c r="AM27" i="12"/>
  <c r="W27" i="12"/>
  <c r="BD26" i="12"/>
  <c r="AR26" i="12"/>
  <c r="AF26" i="12"/>
  <c r="AZ26" i="12" s="1"/>
  <c r="AM25" i="12"/>
  <c r="AR24" i="12"/>
  <c r="AB24" i="12"/>
  <c r="W22" i="12"/>
  <c r="AK23" i="11"/>
  <c r="AN31" i="12"/>
  <c r="AL28" i="12"/>
  <c r="AI25" i="12"/>
  <c r="BC25" i="12" s="1"/>
  <c r="AM22" i="12"/>
  <c r="U12" i="12"/>
  <c r="U17" i="12" s="1"/>
  <c r="S5" i="12"/>
  <c r="AC22" i="10"/>
  <c r="AP30" i="11"/>
  <c r="AC29" i="11"/>
  <c r="AG25" i="11"/>
  <c r="BA25" i="11" s="1"/>
  <c r="U25" i="11"/>
  <c r="BF24" i="11"/>
  <c r="AB24" i="11"/>
  <c r="AQ23" i="11"/>
  <c r="Y23" i="11"/>
  <c r="BH22" i="11"/>
  <c r="AB22" i="11"/>
  <c r="AY33" i="12"/>
  <c r="N54" i="12" s="1"/>
  <c r="N55" i="12" s="1"/>
  <c r="AM32" i="12"/>
  <c r="BD31" i="12"/>
  <c r="AK31" i="12"/>
  <c r="X31" i="12"/>
  <c r="BG30" i="12"/>
  <c r="AA30" i="12"/>
  <c r="AK29" i="12"/>
  <c r="Z28" i="12"/>
  <c r="AU27" i="12"/>
  <c r="X26" i="12"/>
  <c r="AQ25" i="12"/>
  <c r="AJ24" i="12"/>
  <c r="Y23" i="12"/>
  <c r="R33" i="12"/>
  <c r="D45" i="12" s="1"/>
  <c r="T14" i="12"/>
  <c r="AI30" i="10"/>
  <c r="BC30" i="10" s="1"/>
  <c r="BG32" i="11"/>
  <c r="AD32" i="11"/>
  <c r="AR31" i="11"/>
  <c r="AH31" i="11"/>
  <c r="BB31" i="11" s="1"/>
  <c r="Z30" i="11"/>
  <c r="BE29" i="11"/>
  <c r="AV29" i="11"/>
  <c r="AR28" i="11"/>
  <c r="AI28" i="11"/>
  <c r="BC28" i="11" s="1"/>
  <c r="Z27" i="11"/>
  <c r="AQ25" i="11"/>
  <c r="AF25" i="11"/>
  <c r="AV24" i="11"/>
  <c r="AL24" i="11"/>
  <c r="AG23" i="11"/>
  <c r="BA23" i="11" s="1"/>
  <c r="BG22" i="11"/>
  <c r="AV22" i="11"/>
  <c r="AJ32" i="12"/>
  <c r="AS31" i="12"/>
  <c r="AU30" i="12"/>
  <c r="AH28" i="12"/>
  <c r="BB28" i="12" s="1"/>
  <c r="AJ26" i="12"/>
  <c r="U26" i="12"/>
  <c r="AE25" i="12"/>
  <c r="AM23" i="12"/>
  <c r="AQ28" i="11"/>
  <c r="AO25" i="11"/>
  <c r="AJ24" i="11"/>
  <c r="BD24" i="11" s="1"/>
  <c r="Z24" i="11"/>
  <c r="BG23" i="11"/>
  <c r="AO23" i="11"/>
  <c r="W23" i="11"/>
  <c r="AI30" i="12"/>
  <c r="BC30" i="12" s="1"/>
  <c r="BE27" i="12"/>
  <c r="AO27" i="12"/>
  <c r="Y27" i="12"/>
  <c r="AF24" i="12"/>
  <c r="AZ24" i="12" s="1"/>
  <c r="BF26" i="10"/>
  <c r="Z26" i="10"/>
  <c r="S33" i="11"/>
  <c r="M53" i="11" s="1"/>
  <c r="AL30" i="11"/>
  <c r="AT24" i="11"/>
  <c r="AF31" i="12"/>
  <c r="AZ31" i="12" s="1"/>
  <c r="AP28" i="12"/>
  <c r="AW33" i="12"/>
  <c r="L54" i="12" s="1"/>
  <c r="L55" i="12" s="1"/>
  <c r="AQ22" i="12"/>
  <c r="AE22" i="12"/>
  <c r="AP22" i="12"/>
  <c r="AX33" i="12"/>
  <c r="M54" i="12" s="1"/>
  <c r="M55" i="12" s="1"/>
  <c r="AD22" i="12"/>
  <c r="Z22" i="12"/>
  <c r="AU24" i="13"/>
  <c r="AM24" i="13"/>
  <c r="AK24" i="13"/>
  <c r="AJ24" i="13"/>
  <c r="AB24" i="13"/>
  <c r="S17" i="13"/>
  <c r="U12" i="13"/>
  <c r="U17" i="13" s="1"/>
  <c r="AQ23" i="13"/>
  <c r="AP23" i="13"/>
  <c r="AF24" i="13"/>
  <c r="AZ24" i="13" s="1"/>
  <c r="X24" i="13"/>
  <c r="T24" i="13"/>
  <c r="AR24" i="13"/>
  <c r="S18" i="13"/>
  <c r="AK23" i="13"/>
  <c r="AI24" i="13"/>
  <c r="BC24" i="13" s="1"/>
  <c r="AG23" i="13"/>
  <c r="BA23" i="13" s="1"/>
  <c r="T14" i="13"/>
  <c r="T19" i="13" s="1"/>
  <c r="W23" i="13"/>
  <c r="AQ22" i="13"/>
  <c r="U14" i="13"/>
  <c r="U19" i="13" s="1"/>
  <c r="AO24" i="13"/>
  <c r="AA24" i="13"/>
  <c r="AJ22" i="13"/>
  <c r="V14" i="13"/>
  <c r="V19" i="13" s="1"/>
  <c r="Y24" i="13"/>
  <c r="AI22" i="13"/>
  <c r="BC22" i="13" s="1"/>
  <c r="AC23" i="13"/>
  <c r="Y23" i="13"/>
  <c r="AF22" i="13"/>
  <c r="AZ22" i="13" s="1"/>
  <c r="AS23" i="13"/>
  <c r="U23" i="13"/>
  <c r="AB22" i="13"/>
  <c r="AM25" i="13"/>
  <c r="AA22" i="13"/>
  <c r="X25" i="13"/>
  <c r="V13" i="13"/>
  <c r="V18" i="13" s="1"/>
  <c r="S33" i="13"/>
  <c r="E45" i="13" s="1"/>
  <c r="E46" i="13" s="1"/>
  <c r="AL25" i="13"/>
  <c r="T13" i="13"/>
  <c r="T18" i="13" s="1"/>
  <c r="AE25" i="13"/>
  <c r="AR22" i="13"/>
  <c r="AH25" i="13"/>
  <c r="BB25" i="13" s="1"/>
  <c r="U13" i="13"/>
  <c r="U18" i="13" s="1"/>
  <c r="AN23" i="13"/>
  <c r="Y22" i="13"/>
  <c r="U11" i="13"/>
  <c r="U16" i="13" s="1"/>
  <c r="AQ24" i="13"/>
  <c r="AE24" i="13"/>
  <c r="AA25" i="13"/>
  <c r="AO22" i="13"/>
  <c r="T22" i="13"/>
  <c r="W11" i="13"/>
  <c r="W16" i="13" s="1"/>
  <c r="AJ23" i="13"/>
  <c r="AT25" i="13"/>
  <c r="Z25" i="13"/>
  <c r="AN22" i="13"/>
  <c r="AP25" i="13"/>
  <c r="AY33" i="13"/>
  <c r="M54" i="13" s="1"/>
  <c r="M55" i="13" s="1"/>
  <c r="AW33" i="13"/>
  <c r="K54" i="13" s="1"/>
  <c r="K55" i="13" s="1"/>
  <c r="R33" i="13"/>
  <c r="R34" i="13" s="1"/>
  <c r="AO23" i="13"/>
  <c r="AE23" i="13"/>
  <c r="T23" i="13"/>
  <c r="AP24" i="13"/>
  <c r="U24" i="13"/>
  <c r="AU25" i="13"/>
  <c r="AI25" i="13"/>
  <c r="Y25" i="13"/>
  <c r="AK22" i="13"/>
  <c r="Z22" i="13"/>
  <c r="AX33" i="13"/>
  <c r="L54" i="13" s="1"/>
  <c r="L55" i="13" s="1"/>
  <c r="AM23" i="13"/>
  <c r="AB23" i="13"/>
  <c r="AC24" i="13"/>
  <c r="AQ25" i="13"/>
  <c r="AG25" i="13"/>
  <c r="BA25" i="13" s="1"/>
  <c r="AS22" i="13"/>
  <c r="AU23" i="13"/>
  <c r="AA23" i="13"/>
  <c r="AF25" i="13"/>
  <c r="AG22" i="13"/>
  <c r="U22" i="13"/>
  <c r="AO25" i="13"/>
  <c r="AR23" i="13"/>
  <c r="X23" i="13"/>
  <c r="AS24" i="13"/>
  <c r="AN25" i="13"/>
  <c r="AP22" i="13"/>
  <c r="AV33" i="13"/>
  <c r="J54" i="13" s="1"/>
  <c r="J55" i="13" s="1"/>
  <c r="S10" i="13"/>
  <c r="S5" i="13"/>
  <c r="X14" i="11"/>
  <c r="U13" i="10"/>
  <c r="U18" i="10" s="1"/>
  <c r="V10" i="12"/>
  <c r="V15" i="12" s="1"/>
  <c r="Z30" i="10"/>
  <c r="AL30" i="10"/>
  <c r="BF30" i="10"/>
  <c r="AD30" i="10"/>
  <c r="AP30" i="10"/>
  <c r="AW33" i="11"/>
  <c r="Y28" i="11"/>
  <c r="AK28" i="11"/>
  <c r="AS28" i="11"/>
  <c r="AC28" i="11"/>
  <c r="U28" i="11"/>
  <c r="AH27" i="11"/>
  <c r="BB27" i="11" s="1"/>
  <c r="U10" i="11"/>
  <c r="V12" i="11"/>
  <c r="T16" i="10"/>
  <c r="W31" i="10"/>
  <c r="AE31" i="10"/>
  <c r="AM31" i="10"/>
  <c r="AU31" i="10"/>
  <c r="AA31" i="10"/>
  <c r="AI31" i="10"/>
  <c r="BC31" i="10" s="1"/>
  <c r="AQ31" i="10"/>
  <c r="BG31" i="10"/>
  <c r="BE28" i="11"/>
  <c r="AP27" i="11"/>
  <c r="AC26" i="11"/>
  <c r="AK26" i="11"/>
  <c r="AS26" i="11"/>
  <c r="U26" i="11"/>
  <c r="AO26" i="11"/>
  <c r="AG26" i="11"/>
  <c r="Y26" i="11"/>
  <c r="W29" i="10"/>
  <c r="AQ29" i="10"/>
  <c r="AA29" i="10"/>
  <c r="AU29" i="10"/>
  <c r="AM29" i="10"/>
  <c r="T10" i="10"/>
  <c r="W10" i="10"/>
  <c r="BE26" i="11"/>
  <c r="T16" i="11"/>
  <c r="T18" i="11"/>
  <c r="BG29" i="10"/>
  <c r="BA23" i="10"/>
  <c r="K54" i="10"/>
  <c r="K55" i="10" s="1"/>
  <c r="W25" i="10"/>
  <c r="AE25" i="10"/>
  <c r="AM25" i="10"/>
  <c r="AU25" i="10"/>
  <c r="AA25" i="10"/>
  <c r="AI25" i="10"/>
  <c r="BC25" i="10" s="1"/>
  <c r="AQ25" i="10"/>
  <c r="BG25" i="10"/>
  <c r="W12" i="11"/>
  <c r="U11" i="10"/>
  <c r="U16" i="10" s="1"/>
  <c r="X9" i="10"/>
  <c r="X14" i="10" s="1"/>
  <c r="V24" i="10"/>
  <c r="AT24" i="10"/>
  <c r="AH24" i="10"/>
  <c r="BB24" i="10" s="1"/>
  <c r="BF24" i="10"/>
  <c r="AL24" i="10"/>
  <c r="R33" i="10"/>
  <c r="Z24" i="10"/>
  <c r="AP24" i="10"/>
  <c r="AZ33" i="10"/>
  <c r="Q33" i="11"/>
  <c r="AF30" i="11"/>
  <c r="AJ30" i="11"/>
  <c r="BH30" i="11"/>
  <c r="BH33" i="11" s="1"/>
  <c r="X30" i="11"/>
  <c r="X33" i="11" s="1"/>
  <c r="T33" i="11"/>
  <c r="AB30" i="11"/>
  <c r="AN30" i="11"/>
  <c r="AV30" i="11"/>
  <c r="AO33" i="11"/>
  <c r="V13" i="10"/>
  <c r="V18" i="10" s="1"/>
  <c r="BB23" i="10"/>
  <c r="BG22" i="10"/>
  <c r="AA22" i="10"/>
  <c r="AI22" i="10"/>
  <c r="AQ22" i="10"/>
  <c r="W22" i="10"/>
  <c r="S33" i="10"/>
  <c r="AE22" i="10"/>
  <c r="AM22" i="10"/>
  <c r="AU22" i="10"/>
  <c r="V27" i="11"/>
  <c r="AD27" i="11"/>
  <c r="AL27" i="11"/>
  <c r="AT27" i="11"/>
  <c r="AX33" i="11"/>
  <c r="AV31" i="11"/>
  <c r="AN31" i="11"/>
  <c r="AF31" i="11"/>
  <c r="BC30" i="11"/>
  <c r="BC33" i="11" s="1"/>
  <c r="BC34" i="11" s="1"/>
  <c r="BC35" i="11" s="1"/>
  <c r="M60" i="11" s="1"/>
  <c r="AI33" i="11"/>
  <c r="V22" i="11"/>
  <c r="R33" i="11"/>
  <c r="W28" i="10"/>
  <c r="AM28" i="10"/>
  <c r="BG28" i="10"/>
  <c r="AI28" i="10"/>
  <c r="BC28" i="10" s="1"/>
  <c r="AC24" i="10"/>
  <c r="AK24" i="10"/>
  <c r="AK33" i="10" s="1"/>
  <c r="AS24" i="10"/>
  <c r="AG24" i="10"/>
  <c r="BA24" i="10" s="1"/>
  <c r="AO24" i="10"/>
  <c r="AO33" i="10" s="1"/>
  <c r="BE24" i="10"/>
  <c r="BE33" i="10" s="1"/>
  <c r="Q33" i="10"/>
  <c r="AW34" i="10" s="1"/>
  <c r="BF32" i="12"/>
  <c r="Z32" i="12"/>
  <c r="AH32" i="12"/>
  <c r="BB32" i="12" s="1"/>
  <c r="AP32" i="12"/>
  <c r="V32" i="12"/>
  <c r="AD32" i="12"/>
  <c r="AL32" i="12"/>
  <c r="AT32" i="12"/>
  <c r="AD28" i="10"/>
  <c r="V28" i="10"/>
  <c r="AH28" i="10"/>
  <c r="BB28" i="10" s="1"/>
  <c r="AT28" i="10"/>
  <c r="AI27" i="10"/>
  <c r="BC27" i="10" s="1"/>
  <c r="W27" i="10"/>
  <c r="AM27" i="10"/>
  <c r="BG27" i="10"/>
  <c r="Z25" i="10"/>
  <c r="AX33" i="10"/>
  <c r="W23" i="10"/>
  <c r="AE23" i="10"/>
  <c r="AM23" i="10"/>
  <c r="AU23" i="10"/>
  <c r="AA23" i="10"/>
  <c r="AI23" i="10"/>
  <c r="BC23" i="10" s="1"/>
  <c r="AQ23" i="10"/>
  <c r="BG23" i="10"/>
  <c r="AG30" i="11"/>
  <c r="BA30" i="11" s="1"/>
  <c r="AC30" i="11"/>
  <c r="AT29" i="11"/>
  <c r="AP29" i="11"/>
  <c r="BF29" i="11"/>
  <c r="BF25" i="11"/>
  <c r="AP25" i="11"/>
  <c r="AH25" i="11"/>
  <c r="Z25" i="11"/>
  <c r="Z33" i="11" s="1"/>
  <c r="Y33" i="11"/>
  <c r="AH29" i="12"/>
  <c r="BB29" i="12" s="1"/>
  <c r="AT29" i="12"/>
  <c r="Z29" i="12"/>
  <c r="V29" i="12"/>
  <c r="AD29" i="12"/>
  <c r="AP29" i="12"/>
  <c r="AT29" i="10"/>
  <c r="Z29" i="10"/>
  <c r="BF28" i="10"/>
  <c r="AA28" i="10"/>
  <c r="AU27" i="10"/>
  <c r="AE27" i="10"/>
  <c r="V27" i="10"/>
  <c r="AH27" i="10"/>
  <c r="BB27" i="10" s="1"/>
  <c r="AT27" i="10"/>
  <c r="AD27" i="10"/>
  <c r="AT26" i="10"/>
  <c r="AL26" i="10"/>
  <c r="AS31" i="11"/>
  <c r="AK31" i="11"/>
  <c r="AS30" i="11"/>
  <c r="BF26" i="11"/>
  <c r="AP22" i="11"/>
  <c r="T4" i="11"/>
  <c r="T14" i="11" s="1"/>
  <c r="AB29" i="12"/>
  <c r="AJ29" i="12"/>
  <c r="AR29" i="12"/>
  <c r="AF29" i="12"/>
  <c r="AZ29" i="12" s="1"/>
  <c r="AN29" i="12"/>
  <c r="BD29" i="12"/>
  <c r="T29" i="12"/>
  <c r="W32" i="10"/>
  <c r="AM32" i="10"/>
  <c r="BG32" i="10"/>
  <c r="AI32" i="10"/>
  <c r="BC32" i="10" s="1"/>
  <c r="AH29" i="10"/>
  <c r="BB29" i="10" s="1"/>
  <c r="AP28" i="10"/>
  <c r="AQ27" i="10"/>
  <c r="AY33" i="10"/>
  <c r="AV32" i="11"/>
  <c r="AN32" i="11"/>
  <c r="AF32" i="11"/>
  <c r="AT23" i="11"/>
  <c r="AL23" i="11"/>
  <c r="AD23" i="11"/>
  <c r="BF22" i="11"/>
  <c r="BF33" i="11" s="1"/>
  <c r="AE32" i="10"/>
  <c r="AD32" i="10"/>
  <c r="V32" i="10"/>
  <c r="AH32" i="10"/>
  <c r="BB32" i="10" s="1"/>
  <c r="AT32" i="10"/>
  <c r="AT31" i="10"/>
  <c r="AL31" i="10"/>
  <c r="BG26" i="10"/>
  <c r="AQ26" i="10"/>
  <c r="AI26" i="10"/>
  <c r="BC26" i="10" s="1"/>
  <c r="AA26" i="10"/>
  <c r="AT25" i="10"/>
  <c r="AL25" i="10"/>
  <c r="U33" i="10"/>
  <c r="U30" i="11"/>
  <c r="AL29" i="11"/>
  <c r="AD29" i="11"/>
  <c r="V29" i="11"/>
  <c r="AT25" i="11"/>
  <c r="AL25" i="11"/>
  <c r="AD25" i="11"/>
  <c r="U24" i="11"/>
  <c r="AC24" i="11"/>
  <c r="AC33" i="11" s="1"/>
  <c r="AK24" i="11"/>
  <c r="AS24" i="11"/>
  <c r="AD22" i="11"/>
  <c r="Q33" i="12"/>
  <c r="U30" i="12"/>
  <c r="AC30" i="12"/>
  <c r="AK30" i="12"/>
  <c r="AS30" i="12"/>
  <c r="BE30" i="12"/>
  <c r="Y30" i="12"/>
  <c r="AG30" i="12"/>
  <c r="BA30" i="12" s="1"/>
  <c r="AO30" i="12"/>
  <c r="Z26" i="12"/>
  <c r="AH26" i="12"/>
  <c r="BB26" i="12" s="1"/>
  <c r="AP26" i="12"/>
  <c r="BF26" i="12"/>
  <c r="V26" i="12"/>
  <c r="AD26" i="12"/>
  <c r="AL26" i="12"/>
  <c r="AT26" i="12"/>
  <c r="BB22" i="13"/>
  <c r="T33" i="10"/>
  <c r="W30" i="11"/>
  <c r="AF24" i="11"/>
  <c r="AS32" i="12"/>
  <c r="AK32" i="12"/>
  <c r="AC32" i="12"/>
  <c r="U32" i="12"/>
  <c r="BE31" i="12"/>
  <c r="U31" i="12"/>
  <c r="AA27" i="12"/>
  <c r="AI27" i="12"/>
  <c r="BC27" i="12" s="1"/>
  <c r="AQ27" i="12"/>
  <c r="BG27" i="12"/>
  <c r="AV33" i="12"/>
  <c r="AS32" i="10"/>
  <c r="AS33" i="10" s="1"/>
  <c r="AV30" i="10"/>
  <c r="AV33" i="10" s="1"/>
  <c r="AN30" i="10"/>
  <c r="AF30" i="10"/>
  <c r="X30" i="10"/>
  <c r="X33" i="10" s="1"/>
  <c r="AJ29" i="10"/>
  <c r="AB29" i="10"/>
  <c r="AB33" i="10" s="1"/>
  <c r="AN24" i="10"/>
  <c r="AF24" i="10"/>
  <c r="AE28" i="11"/>
  <c r="AE33" i="11" s="1"/>
  <c r="AC31" i="12"/>
  <c r="V24" i="13"/>
  <c r="AL24" i="13"/>
  <c r="AT24" i="13"/>
  <c r="AS22" i="11"/>
  <c r="AS33" i="11" s="1"/>
  <c r="AK22" i="11"/>
  <c r="S33" i="12"/>
  <c r="AU28" i="12"/>
  <c r="AM28" i="12"/>
  <c r="AE28" i="12"/>
  <c r="U23" i="12"/>
  <c r="AC23" i="12"/>
  <c r="AK23" i="12"/>
  <c r="AS23" i="12"/>
  <c r="V23" i="13"/>
  <c r="AL23" i="13"/>
  <c r="AT23" i="13"/>
  <c r="T12" i="13"/>
  <c r="AO32" i="12"/>
  <c r="AG32" i="12"/>
  <c r="BA32" i="12" s="1"/>
  <c r="Y32" i="12"/>
  <c r="Y31" i="12"/>
  <c r="U25" i="12"/>
  <c r="AC25" i="12"/>
  <c r="AK25" i="12"/>
  <c r="AS25" i="12"/>
  <c r="W24" i="12"/>
  <c r="AE24" i="12"/>
  <c r="AM24" i="12"/>
  <c r="AU24" i="12"/>
  <c r="AO23" i="12"/>
  <c r="T23" i="12"/>
  <c r="AB23" i="12"/>
  <c r="AJ23" i="12"/>
  <c r="AR23" i="12"/>
  <c r="P33" i="12"/>
  <c r="Z23" i="13"/>
  <c r="AH24" i="13"/>
  <c r="BB24" i="13" s="1"/>
  <c r="AR30" i="10"/>
  <c r="AR33" i="10" s="1"/>
  <c r="AJ30" i="10"/>
  <c r="BD30" i="10" s="1"/>
  <c r="AN29" i="10"/>
  <c r="AF29" i="10"/>
  <c r="W26" i="12"/>
  <c r="AE26" i="12"/>
  <c r="AM26" i="12"/>
  <c r="AU26" i="12"/>
  <c r="T25" i="12"/>
  <c r="AB25" i="12"/>
  <c r="AJ25" i="12"/>
  <c r="AR25" i="12"/>
  <c r="Z24" i="12"/>
  <c r="AH24" i="12"/>
  <c r="AP24" i="12"/>
  <c r="BF24" i="12"/>
  <c r="V24" i="12"/>
  <c r="AD24" i="12"/>
  <c r="AL24" i="12"/>
  <c r="AT24" i="12"/>
  <c r="AH23" i="13"/>
  <c r="BB23" i="13" s="1"/>
  <c r="V22" i="13"/>
  <c r="AL22" i="13"/>
  <c r="AT22" i="13"/>
  <c r="BF27" i="12"/>
  <c r="AP27" i="12"/>
  <c r="AH27" i="12"/>
  <c r="BB27" i="12" s="1"/>
  <c r="Z27" i="12"/>
  <c r="Q33" i="13"/>
  <c r="AS25" i="13"/>
  <c r="AK25" i="13"/>
  <c r="AC25" i="13"/>
  <c r="V12" i="13"/>
  <c r="V17" i="13" s="1"/>
  <c r="P33" i="13"/>
  <c r="AR25" i="13"/>
  <c r="AJ25" i="13"/>
  <c r="AB25" i="13"/>
  <c r="V11" i="13"/>
  <c r="AR31" i="12"/>
  <c r="AJ31" i="12"/>
  <c r="AT27" i="12"/>
  <c r="AL27" i="12"/>
  <c r="AD27" i="12"/>
  <c r="AT25" i="12"/>
  <c r="AL25" i="12"/>
  <c r="AD25" i="12"/>
  <c r="AT23" i="12"/>
  <c r="AL23" i="12"/>
  <c r="AD23" i="12"/>
  <c r="AJ22" i="12"/>
  <c r="AU22" i="13"/>
  <c r="AM22" i="13"/>
  <c r="AE22" i="13"/>
  <c r="AS27" i="12"/>
  <c r="AK27" i="12"/>
  <c r="AC27" i="12"/>
  <c r="AO24" i="12"/>
  <c r="AG24" i="12"/>
  <c r="BA24" i="12" s="1"/>
  <c r="BE22" i="12"/>
  <c r="AI22" i="12"/>
  <c r="AG22" i="12"/>
  <c r="AY34" i="12" l="1"/>
  <c r="AN33" i="12"/>
  <c r="K48" i="12" s="1"/>
  <c r="V33" i="12"/>
  <c r="S15" i="12"/>
  <c r="T12" i="12"/>
  <c r="T17" i="12" s="1"/>
  <c r="U10" i="12"/>
  <c r="U15" i="12" s="1"/>
  <c r="AN33" i="10"/>
  <c r="AL33" i="11"/>
  <c r="Z33" i="10"/>
  <c r="T19" i="12"/>
  <c r="AQ33" i="11"/>
  <c r="AR33" i="11"/>
  <c r="BH33" i="10"/>
  <c r="BE33" i="11"/>
  <c r="BE33" i="12"/>
  <c r="AA33" i="12"/>
  <c r="E58" i="12" s="1"/>
  <c r="BD33" i="12"/>
  <c r="BF33" i="12"/>
  <c r="AF33" i="12"/>
  <c r="B63" i="12" s="1"/>
  <c r="AK33" i="12"/>
  <c r="C57" i="12" s="1"/>
  <c r="BG33" i="12"/>
  <c r="BG34" i="12" s="1"/>
  <c r="X33" i="12"/>
  <c r="B58" i="12" s="1"/>
  <c r="AZ33" i="12"/>
  <c r="AZ34" i="12" s="1"/>
  <c r="AZ35" i="12" s="1"/>
  <c r="K60" i="12" s="1"/>
  <c r="D68" i="11"/>
  <c r="D69" i="11" s="1"/>
  <c r="D70" i="11" s="1"/>
  <c r="D58" i="11"/>
  <c r="D52" i="11"/>
  <c r="AA34" i="11"/>
  <c r="D62" i="11"/>
  <c r="M45" i="11"/>
  <c r="AU34" i="11"/>
  <c r="AU35" i="11" s="1"/>
  <c r="M47" i="11"/>
  <c r="M49" i="11"/>
  <c r="AQ34" i="11"/>
  <c r="AQ35" i="11" s="1"/>
  <c r="M48" i="11"/>
  <c r="M46" i="11"/>
  <c r="B68" i="10"/>
  <c r="B69" i="10" s="1"/>
  <c r="B70" i="10" s="1"/>
  <c r="B52" i="10"/>
  <c r="B58" i="10"/>
  <c r="Y34" i="10"/>
  <c r="AP33" i="11"/>
  <c r="AB33" i="12"/>
  <c r="AF33" i="10"/>
  <c r="U33" i="11"/>
  <c r="AL33" i="10"/>
  <c r="AL34" i="10" s="1"/>
  <c r="AL35" i="10" s="1"/>
  <c r="C56" i="10" s="1"/>
  <c r="BF33" i="10"/>
  <c r="BF34" i="10" s="1"/>
  <c r="AC33" i="12"/>
  <c r="C64" i="12" s="1"/>
  <c r="AT33" i="11"/>
  <c r="W33" i="10"/>
  <c r="AL33" i="12"/>
  <c r="AL34" i="12" s="1"/>
  <c r="AL35" i="12" s="1"/>
  <c r="D56" i="12" s="1"/>
  <c r="AT33" i="10"/>
  <c r="V33" i="10"/>
  <c r="AT33" i="12"/>
  <c r="AM33" i="12"/>
  <c r="E57" i="12" s="1"/>
  <c r="Y33" i="12"/>
  <c r="C58" i="12" s="1"/>
  <c r="AB33" i="11"/>
  <c r="AP33" i="10"/>
  <c r="AM33" i="11"/>
  <c r="AC33" i="10"/>
  <c r="AA33" i="10"/>
  <c r="S34" i="11"/>
  <c r="D45" i="11"/>
  <c r="D46" i="11" s="1"/>
  <c r="BG33" i="11"/>
  <c r="Z33" i="12"/>
  <c r="D52" i="12" s="1"/>
  <c r="W33" i="11"/>
  <c r="AR33" i="12"/>
  <c r="AD33" i="10"/>
  <c r="AY34" i="11"/>
  <c r="AQ33" i="12"/>
  <c r="N46" i="12" s="1"/>
  <c r="AE33" i="12"/>
  <c r="W33" i="13"/>
  <c r="W34" i="13" s="1"/>
  <c r="S15" i="13"/>
  <c r="W10" i="13"/>
  <c r="W15" i="13" s="1"/>
  <c r="AP33" i="13"/>
  <c r="AP34" i="13" s="1"/>
  <c r="AP35" i="13" s="1"/>
  <c r="X33" i="13"/>
  <c r="B68" i="13" s="1"/>
  <c r="B69" i="13" s="1"/>
  <c r="B70" i="13" s="1"/>
  <c r="Y33" i="13"/>
  <c r="C68" i="13" s="1"/>
  <c r="C69" i="13" s="1"/>
  <c r="C70" i="13" s="1"/>
  <c r="AE33" i="13"/>
  <c r="AE34" i="13" s="1"/>
  <c r="AN33" i="13"/>
  <c r="J48" i="13" s="1"/>
  <c r="S34" i="13"/>
  <c r="U10" i="13"/>
  <c r="U15" i="13" s="1"/>
  <c r="AK33" i="13"/>
  <c r="C57" i="13" s="1"/>
  <c r="M53" i="13"/>
  <c r="AQ33" i="13"/>
  <c r="M46" i="13" s="1"/>
  <c r="U33" i="13"/>
  <c r="AM33" i="13"/>
  <c r="AM34" i="13" s="1"/>
  <c r="AM35" i="13" s="1"/>
  <c r="E56" i="13" s="1"/>
  <c r="T33" i="13"/>
  <c r="T34" i="13" s="1"/>
  <c r="AY34" i="13"/>
  <c r="Z33" i="13"/>
  <c r="D52" i="13" s="1"/>
  <c r="AX34" i="13"/>
  <c r="AA33" i="13"/>
  <c r="E62" i="13" s="1"/>
  <c r="AL33" i="13"/>
  <c r="AL34" i="13" s="1"/>
  <c r="AL35" i="13" s="1"/>
  <c r="D56" i="13" s="1"/>
  <c r="AJ33" i="13"/>
  <c r="B57" i="13" s="1"/>
  <c r="AC33" i="13"/>
  <c r="AD33" i="13"/>
  <c r="AD34" i="13" s="1"/>
  <c r="L53" i="13"/>
  <c r="BC25" i="13"/>
  <c r="BC33" i="13" s="1"/>
  <c r="BC34" i="13" s="1"/>
  <c r="BC35" i="13" s="1"/>
  <c r="M60" i="13" s="1"/>
  <c r="AI33" i="13"/>
  <c r="AU33" i="13"/>
  <c r="J53" i="13"/>
  <c r="AO33" i="13"/>
  <c r="K46" i="13" s="1"/>
  <c r="BA22" i="13"/>
  <c r="BA33" i="13" s="1"/>
  <c r="BA34" i="13" s="1"/>
  <c r="BA35" i="13" s="1"/>
  <c r="K60" i="13" s="1"/>
  <c r="AG33" i="13"/>
  <c r="AB33" i="13"/>
  <c r="B64" i="13" s="1"/>
  <c r="AV34" i="13"/>
  <c r="D45" i="13"/>
  <c r="D46" i="13" s="1"/>
  <c r="AZ25" i="13"/>
  <c r="AZ33" i="13" s="1"/>
  <c r="AZ34" i="13" s="1"/>
  <c r="AZ35" i="13" s="1"/>
  <c r="J60" i="13" s="1"/>
  <c r="AF33" i="13"/>
  <c r="V34" i="12"/>
  <c r="D47" i="12"/>
  <c r="AV34" i="10"/>
  <c r="AV35" i="10" s="1"/>
  <c r="N49" i="10"/>
  <c r="N47" i="10"/>
  <c r="BE34" i="10"/>
  <c r="K64" i="10"/>
  <c r="E64" i="10"/>
  <c r="AF34" i="10"/>
  <c r="E55" i="10"/>
  <c r="K49" i="10"/>
  <c r="AS34" i="10"/>
  <c r="AS35" i="10" s="1"/>
  <c r="K47" i="10"/>
  <c r="B47" i="11"/>
  <c r="U34" i="11"/>
  <c r="AD34" i="10"/>
  <c r="C55" i="10"/>
  <c r="C64" i="10"/>
  <c r="AB34" i="10"/>
  <c r="E68" i="10"/>
  <c r="E69" i="10" s="1"/>
  <c r="E70" i="10" s="1"/>
  <c r="E52" i="10"/>
  <c r="E58" i="10"/>
  <c r="E62" i="10"/>
  <c r="AT34" i="11"/>
  <c r="AT35" i="11" s="1"/>
  <c r="L47" i="11"/>
  <c r="L49" i="11"/>
  <c r="V34" i="10"/>
  <c r="C47" i="10"/>
  <c r="L49" i="10"/>
  <c r="L47" i="10"/>
  <c r="AT34" i="10"/>
  <c r="AT35" i="10" s="1"/>
  <c r="L46" i="10"/>
  <c r="AP34" i="10"/>
  <c r="AP35" i="10" s="1"/>
  <c r="L45" i="10"/>
  <c r="L48" i="10"/>
  <c r="C58" i="10"/>
  <c r="C68" i="10"/>
  <c r="C69" i="10" s="1"/>
  <c r="C70" i="10" s="1"/>
  <c r="Z34" i="10"/>
  <c r="C52" i="10"/>
  <c r="C62" i="10"/>
  <c r="L45" i="11"/>
  <c r="L48" i="11"/>
  <c r="AP34" i="11"/>
  <c r="AP35" i="11" s="1"/>
  <c r="L46" i="11"/>
  <c r="Q34" i="13"/>
  <c r="C45" i="13"/>
  <c r="T33" i="12"/>
  <c r="X34" i="10"/>
  <c r="E47" i="10"/>
  <c r="K54" i="12"/>
  <c r="K55" i="12" s="1"/>
  <c r="AV34" i="12"/>
  <c r="K53" i="12"/>
  <c r="K48" i="10"/>
  <c r="K45" i="10"/>
  <c r="AO34" i="10"/>
  <c r="AO35" i="10" s="1"/>
  <c r="AU33" i="10"/>
  <c r="BG33" i="10"/>
  <c r="E45" i="11"/>
  <c r="T34" i="11"/>
  <c r="AZ34" i="11"/>
  <c r="N53" i="11"/>
  <c r="U10" i="10"/>
  <c r="T9" i="10"/>
  <c r="T14" i="10" s="1"/>
  <c r="V10" i="10"/>
  <c r="N53" i="12"/>
  <c r="BD29" i="10"/>
  <c r="BD33" i="10" s="1"/>
  <c r="BD34" i="10" s="1"/>
  <c r="BD35" i="10" s="1"/>
  <c r="N60" i="10" s="1"/>
  <c r="AJ33" i="10"/>
  <c r="AZ34" i="10"/>
  <c r="N53" i="10"/>
  <c r="N54" i="10"/>
  <c r="N55" i="10" s="1"/>
  <c r="AJ33" i="12"/>
  <c r="AO33" i="12"/>
  <c r="U33" i="12"/>
  <c r="B68" i="11"/>
  <c r="B69" i="11" s="1"/>
  <c r="B70" i="11" s="1"/>
  <c r="B52" i="11"/>
  <c r="Y34" i="11"/>
  <c r="B58" i="11"/>
  <c r="B62" i="11"/>
  <c r="AM33" i="10"/>
  <c r="AH33" i="10"/>
  <c r="X34" i="11"/>
  <c r="E47" i="11"/>
  <c r="E49" i="11" s="1"/>
  <c r="BA33" i="10"/>
  <c r="BA34" i="10" s="1"/>
  <c r="BA35" i="10" s="1"/>
  <c r="K60" i="10" s="1"/>
  <c r="K53" i="10"/>
  <c r="K46" i="12"/>
  <c r="AA34" i="10"/>
  <c r="D52" i="10"/>
  <c r="D58" i="10"/>
  <c r="D68" i="10"/>
  <c r="D69" i="10" s="1"/>
  <c r="D70" i="10" s="1"/>
  <c r="D62" i="10"/>
  <c r="AR33" i="13"/>
  <c r="J64" i="13" s="1"/>
  <c r="AD33" i="12"/>
  <c r="AT33" i="13"/>
  <c r="L64" i="13" s="1"/>
  <c r="AU33" i="12"/>
  <c r="N64" i="12" s="1"/>
  <c r="Z34" i="11"/>
  <c r="C52" i="11"/>
  <c r="C58" i="11"/>
  <c r="C68" i="11"/>
  <c r="C69" i="11" s="1"/>
  <c r="C70" i="11" s="1"/>
  <c r="C62" i="11"/>
  <c r="AE33" i="10"/>
  <c r="BB33" i="10"/>
  <c r="BB34" i="10" s="1"/>
  <c r="BB35" i="10" s="1"/>
  <c r="L60" i="10" s="1"/>
  <c r="BH34" i="11"/>
  <c r="N64" i="11"/>
  <c r="R34" i="10"/>
  <c r="C45" i="10"/>
  <c r="W9" i="11"/>
  <c r="W14" i="11" s="1"/>
  <c r="W17" i="11"/>
  <c r="AG33" i="10"/>
  <c r="V17" i="11"/>
  <c r="V9" i="11"/>
  <c r="V14" i="11" s="1"/>
  <c r="AS34" i="11"/>
  <c r="AS35" i="11" s="1"/>
  <c r="K49" i="11"/>
  <c r="K47" i="11"/>
  <c r="BE34" i="11"/>
  <c r="K64" i="11"/>
  <c r="AG33" i="12"/>
  <c r="BA22" i="12"/>
  <c r="BA33" i="12" s="1"/>
  <c r="BA34" i="12" s="1"/>
  <c r="BA35" i="12" s="1"/>
  <c r="L60" i="12" s="1"/>
  <c r="AS33" i="13"/>
  <c r="K64" i="13" s="1"/>
  <c r="D55" i="11"/>
  <c r="AE34" i="11"/>
  <c r="D64" i="11"/>
  <c r="AF33" i="11"/>
  <c r="AH33" i="13"/>
  <c r="BB25" i="11"/>
  <c r="BB33" i="11" s="1"/>
  <c r="BB34" i="11" s="1"/>
  <c r="BB35" i="11" s="1"/>
  <c r="L60" i="11" s="1"/>
  <c r="AH33" i="11"/>
  <c r="C45" i="11"/>
  <c r="R34" i="11"/>
  <c r="L53" i="11"/>
  <c r="L54" i="11"/>
  <c r="L55" i="11" s="1"/>
  <c r="AX34" i="11"/>
  <c r="D45" i="10"/>
  <c r="S34" i="10"/>
  <c r="AJ33" i="11"/>
  <c r="BD30" i="11"/>
  <c r="BD33" i="11" s="1"/>
  <c r="BD34" i="11" s="1"/>
  <c r="BD35" i="11" s="1"/>
  <c r="N60" i="11" s="1"/>
  <c r="U15" i="11"/>
  <c r="U9" i="11"/>
  <c r="U14" i="11" s="1"/>
  <c r="K53" i="11"/>
  <c r="K54" i="11"/>
  <c r="K55" i="11" s="1"/>
  <c r="AW34" i="11"/>
  <c r="P34" i="12"/>
  <c r="B45" i="12"/>
  <c r="BB33" i="13"/>
  <c r="BB34" i="13" s="1"/>
  <c r="BB35" i="13" s="1"/>
  <c r="L60" i="13" s="1"/>
  <c r="AC34" i="10"/>
  <c r="B55" i="10"/>
  <c r="AL34" i="11"/>
  <c r="AL35" i="11" s="1"/>
  <c r="C56" i="11" s="1"/>
  <c r="C57" i="11"/>
  <c r="AK34" i="10"/>
  <c r="AK35" i="10" s="1"/>
  <c r="B56" i="10" s="1"/>
  <c r="B57" i="10"/>
  <c r="BF34" i="12"/>
  <c r="V33" i="11"/>
  <c r="AO34" i="11"/>
  <c r="AO35" i="11" s="1"/>
  <c r="K45" i="11"/>
  <c r="K46" i="11"/>
  <c r="K48" i="11"/>
  <c r="V16" i="13"/>
  <c r="V10" i="13"/>
  <c r="V15" i="13" s="1"/>
  <c r="V33" i="13"/>
  <c r="AP33" i="12"/>
  <c r="K53" i="13"/>
  <c r="W33" i="12"/>
  <c r="S34" i="12"/>
  <c r="E45" i="12"/>
  <c r="E45" i="10"/>
  <c r="T34" i="10"/>
  <c r="BH34" i="10"/>
  <c r="N64" i="10"/>
  <c r="C45" i="12"/>
  <c r="L53" i="12"/>
  <c r="AW34" i="12"/>
  <c r="Q34" i="12"/>
  <c r="AQ33" i="10"/>
  <c r="AV33" i="11"/>
  <c r="Q34" i="11"/>
  <c r="B45" i="11"/>
  <c r="N48" i="11"/>
  <c r="BC22" i="12"/>
  <c r="BC33" i="12" s="1"/>
  <c r="BC34" i="12" s="1"/>
  <c r="BC35" i="12" s="1"/>
  <c r="N60" i="12" s="1"/>
  <c r="AI33" i="12"/>
  <c r="D47" i="11"/>
  <c r="W34" i="11"/>
  <c r="R34" i="12"/>
  <c r="AX34" i="12"/>
  <c r="B47" i="10"/>
  <c r="U34" i="10"/>
  <c r="B55" i="11"/>
  <c r="B64" i="11"/>
  <c r="AC34" i="11"/>
  <c r="W34" i="10"/>
  <c r="D47" i="10"/>
  <c r="D49" i="10" s="1"/>
  <c r="N45" i="10"/>
  <c r="AR34" i="10"/>
  <c r="AR35" i="10" s="1"/>
  <c r="N48" i="10"/>
  <c r="N46" i="10"/>
  <c r="BA26" i="11"/>
  <c r="BA33" i="11" s="1"/>
  <c r="BA34" i="11" s="1"/>
  <c r="BA35" i="11" s="1"/>
  <c r="K60" i="11" s="1"/>
  <c r="AG33" i="11"/>
  <c r="P34" i="13"/>
  <c r="B45" i="13"/>
  <c r="BB24" i="12"/>
  <c r="BB33" i="12" s="1"/>
  <c r="BB34" i="12" s="1"/>
  <c r="BB35" i="12" s="1"/>
  <c r="M60" i="12" s="1"/>
  <c r="AH33" i="12"/>
  <c r="AW34" i="13"/>
  <c r="T17" i="13"/>
  <c r="T10" i="13"/>
  <c r="T15" i="13" s="1"/>
  <c r="AS33" i="12"/>
  <c r="L64" i="12" s="1"/>
  <c r="AK33" i="11"/>
  <c r="AD33" i="11"/>
  <c r="M53" i="12"/>
  <c r="M54" i="10"/>
  <c r="M55" i="10" s="1"/>
  <c r="AY34" i="10"/>
  <c r="M53" i="10"/>
  <c r="AX34" i="10"/>
  <c r="L54" i="10"/>
  <c r="L55" i="10" s="1"/>
  <c r="L53" i="10"/>
  <c r="Q34" i="10"/>
  <c r="B45" i="10"/>
  <c r="AI34" i="11"/>
  <c r="AI35" i="11" s="1"/>
  <c r="D53" i="11" s="1"/>
  <c r="D54" i="11"/>
  <c r="M59" i="11"/>
  <c r="D63" i="11"/>
  <c r="BC22" i="10"/>
  <c r="BC33" i="10" s="1"/>
  <c r="BC34" i="10" s="1"/>
  <c r="BC35" i="10" s="1"/>
  <c r="M60" i="10" s="1"/>
  <c r="AI33" i="10"/>
  <c r="AN33" i="11"/>
  <c r="T15" i="10"/>
  <c r="B62" i="10" s="1"/>
  <c r="BF34" i="11"/>
  <c r="L64" i="11"/>
  <c r="E58" i="11"/>
  <c r="AB34" i="11"/>
  <c r="E52" i="11"/>
  <c r="E62" i="11"/>
  <c r="E68" i="11"/>
  <c r="E69" i="11" s="1"/>
  <c r="E70" i="11" s="1"/>
  <c r="W15" i="10"/>
  <c r="K46" i="10" s="1"/>
  <c r="W9" i="10"/>
  <c r="W14" i="10" s="1"/>
  <c r="AN34" i="10"/>
  <c r="AN35" i="10" s="1"/>
  <c r="E56" i="10" s="1"/>
  <c r="E57" i="10"/>
  <c r="AK34" i="12" l="1"/>
  <c r="AK35" i="12" s="1"/>
  <c r="C56" i="12" s="1"/>
  <c r="AN34" i="12"/>
  <c r="AN35" i="12" s="1"/>
  <c r="B62" i="12"/>
  <c r="E52" i="12"/>
  <c r="E55" i="12"/>
  <c r="M49" i="12"/>
  <c r="M64" i="12"/>
  <c r="E62" i="12"/>
  <c r="AA34" i="12"/>
  <c r="AC34" i="12"/>
  <c r="E68" i="12"/>
  <c r="E69" i="12" s="1"/>
  <c r="E70" i="12" s="1"/>
  <c r="B68" i="12"/>
  <c r="B69" i="12" s="1"/>
  <c r="B70" i="12" s="1"/>
  <c r="M47" i="12"/>
  <c r="C68" i="12"/>
  <c r="C69" i="12" s="1"/>
  <c r="C70" i="12" s="1"/>
  <c r="C55" i="12"/>
  <c r="T10" i="12"/>
  <c r="T15" i="12" s="1"/>
  <c r="AT34" i="12"/>
  <c r="AT35" i="12" s="1"/>
  <c r="K49" i="12"/>
  <c r="K64" i="12"/>
  <c r="M49" i="13"/>
  <c r="M64" i="13"/>
  <c r="J59" i="13"/>
  <c r="B63" i="13"/>
  <c r="N46" i="11"/>
  <c r="AR34" i="11"/>
  <c r="AR35" i="11" s="1"/>
  <c r="BD34" i="12"/>
  <c r="BE34" i="12"/>
  <c r="D62" i="12"/>
  <c r="X34" i="12"/>
  <c r="B52" i="12"/>
  <c r="Z34" i="12"/>
  <c r="Y34" i="12"/>
  <c r="D58" i="12"/>
  <c r="C62" i="12"/>
  <c r="D68" i="12"/>
  <c r="D69" i="12" s="1"/>
  <c r="D70" i="12" s="1"/>
  <c r="C52" i="12"/>
  <c r="B54" i="12"/>
  <c r="AF34" i="12"/>
  <c r="AF35" i="12" s="1"/>
  <c r="B53" i="12" s="1"/>
  <c r="B55" i="12"/>
  <c r="AR34" i="12"/>
  <c r="AR35" i="12" s="1"/>
  <c r="K59" i="12"/>
  <c r="K45" i="12"/>
  <c r="D57" i="12"/>
  <c r="B64" i="12"/>
  <c r="AB34" i="12"/>
  <c r="K47" i="12"/>
  <c r="C57" i="10"/>
  <c r="BG34" i="11"/>
  <c r="M64" i="11"/>
  <c r="L64" i="10"/>
  <c r="AM34" i="12"/>
  <c r="AM35" i="12" s="1"/>
  <c r="E56" i="12" s="1"/>
  <c r="AQ34" i="12"/>
  <c r="AQ35" i="12" s="1"/>
  <c r="D57" i="11"/>
  <c r="AM34" i="11"/>
  <c r="AM35" i="11" s="1"/>
  <c r="D56" i="11" s="1"/>
  <c r="E64" i="12"/>
  <c r="N48" i="12"/>
  <c r="AE34" i="12"/>
  <c r="B58" i="13"/>
  <c r="B47" i="13"/>
  <c r="B49" i="13" s="1"/>
  <c r="L45" i="13"/>
  <c r="E57" i="13"/>
  <c r="AJ34" i="13"/>
  <c r="AJ35" i="13" s="1"/>
  <c r="B56" i="13" s="1"/>
  <c r="AN34" i="13"/>
  <c r="AN35" i="13" s="1"/>
  <c r="E47" i="13"/>
  <c r="E49" i="13" s="1"/>
  <c r="D62" i="13"/>
  <c r="AK34" i="13"/>
  <c r="AK35" i="13" s="1"/>
  <c r="C56" i="13" s="1"/>
  <c r="C63" i="13"/>
  <c r="Z34" i="13"/>
  <c r="C55" i="13"/>
  <c r="L46" i="13"/>
  <c r="C58" i="13"/>
  <c r="C62" i="13"/>
  <c r="Y34" i="13"/>
  <c r="J46" i="13"/>
  <c r="X34" i="13"/>
  <c r="E64" i="13"/>
  <c r="C52" i="13"/>
  <c r="D68" i="13"/>
  <c r="D69" i="13" s="1"/>
  <c r="D70" i="13" s="1"/>
  <c r="D58" i="13"/>
  <c r="AU34" i="13"/>
  <c r="AU35" i="13" s="1"/>
  <c r="D57" i="13"/>
  <c r="L48" i="13"/>
  <c r="M45" i="13"/>
  <c r="M47" i="13"/>
  <c r="B62" i="13"/>
  <c r="B52" i="13"/>
  <c r="AA34" i="13"/>
  <c r="E58" i="13"/>
  <c r="U34" i="13"/>
  <c r="C47" i="13"/>
  <c r="C49" i="13" s="1"/>
  <c r="C64" i="13"/>
  <c r="AB34" i="13"/>
  <c r="E52" i="13"/>
  <c r="AC34" i="13"/>
  <c r="E68" i="13"/>
  <c r="E69" i="13" s="1"/>
  <c r="E70" i="13" s="1"/>
  <c r="B55" i="13"/>
  <c r="M48" i="13"/>
  <c r="E55" i="13"/>
  <c r="D55" i="13"/>
  <c r="AQ34" i="13"/>
  <c r="AQ35" i="13" s="1"/>
  <c r="D64" i="13"/>
  <c r="AF34" i="13"/>
  <c r="AF35" i="13" s="1"/>
  <c r="B53" i="13" s="1"/>
  <c r="B54" i="13"/>
  <c r="M59" i="13"/>
  <c r="E54" i="13"/>
  <c r="E63" i="13"/>
  <c r="AI34" i="13"/>
  <c r="AI35" i="13" s="1"/>
  <c r="E53" i="13" s="1"/>
  <c r="K59" i="13"/>
  <c r="AG34" i="13"/>
  <c r="AG35" i="13" s="1"/>
  <c r="C53" i="13" s="1"/>
  <c r="C54" i="13"/>
  <c r="AO34" i="13"/>
  <c r="AO35" i="13" s="1"/>
  <c r="K48" i="13"/>
  <c r="E55" i="11"/>
  <c r="AF34" i="11"/>
  <c r="E64" i="11"/>
  <c r="AQ34" i="10"/>
  <c r="AQ35" i="10" s="1"/>
  <c r="M48" i="10"/>
  <c r="M46" i="10"/>
  <c r="M45" i="10"/>
  <c r="N49" i="12"/>
  <c r="AU34" i="12"/>
  <c r="AU35" i="12" s="1"/>
  <c r="N47" i="12"/>
  <c r="N59" i="12"/>
  <c r="E54" i="12"/>
  <c r="E63" i="12"/>
  <c r="AI34" i="12"/>
  <c r="AI35" i="12" s="1"/>
  <c r="E53" i="12" s="1"/>
  <c r="E46" i="12"/>
  <c r="N59" i="11"/>
  <c r="AJ34" i="11"/>
  <c r="AJ35" i="11" s="1"/>
  <c r="E53" i="11" s="1"/>
  <c r="E63" i="11"/>
  <c r="E54" i="11"/>
  <c r="AM34" i="10"/>
  <c r="AM35" i="10" s="1"/>
  <c r="D56" i="10" s="1"/>
  <c r="D57" i="10"/>
  <c r="M64" i="10"/>
  <c r="BG34" i="10"/>
  <c r="AG34" i="11"/>
  <c r="AG35" i="11" s="1"/>
  <c r="B53" i="11" s="1"/>
  <c r="B54" i="11"/>
  <c r="K59" i="11"/>
  <c r="B63" i="11"/>
  <c r="C48" i="10"/>
  <c r="C50" i="10" s="1"/>
  <c r="C46" i="10"/>
  <c r="N45" i="12"/>
  <c r="J49" i="13"/>
  <c r="AR34" i="13"/>
  <c r="AR35" i="13" s="1"/>
  <c r="J45" i="13"/>
  <c r="J47" i="13"/>
  <c r="V9" i="10"/>
  <c r="V14" i="10" s="1"/>
  <c r="V15" i="10"/>
  <c r="B64" i="10" s="1"/>
  <c r="AU34" i="10"/>
  <c r="AU35" i="10" s="1"/>
  <c r="M49" i="10"/>
  <c r="M47" i="10"/>
  <c r="B47" i="12"/>
  <c r="B49" i="12" s="1"/>
  <c r="T34" i="12"/>
  <c r="V34" i="13"/>
  <c r="D47" i="13"/>
  <c r="L49" i="12"/>
  <c r="L47" i="12"/>
  <c r="AS34" i="12"/>
  <c r="AS35" i="12" s="1"/>
  <c r="AH34" i="11"/>
  <c r="AH35" i="11" s="1"/>
  <c r="C53" i="11" s="1"/>
  <c r="C54" i="11"/>
  <c r="C63" i="11"/>
  <c r="L59" i="11"/>
  <c r="D55" i="12"/>
  <c r="AD34" i="12"/>
  <c r="D64" i="12"/>
  <c r="B46" i="10"/>
  <c r="B48" i="10"/>
  <c r="B50" i="10" s="1"/>
  <c r="B49" i="10"/>
  <c r="W34" i="12"/>
  <c r="E47" i="12"/>
  <c r="E49" i="12" s="1"/>
  <c r="C47" i="11"/>
  <c r="C49" i="11" s="1"/>
  <c r="V34" i="11"/>
  <c r="D48" i="10"/>
  <c r="D50" i="10" s="1"/>
  <c r="D46" i="10"/>
  <c r="C46" i="13"/>
  <c r="M48" i="12"/>
  <c r="M45" i="12"/>
  <c r="M46" i="12"/>
  <c r="AP34" i="12"/>
  <c r="AP35" i="12" s="1"/>
  <c r="K49" i="13"/>
  <c r="AS34" i="13"/>
  <c r="AS35" i="13" s="1"/>
  <c r="K47" i="13"/>
  <c r="K45" i="13"/>
  <c r="E57" i="11"/>
  <c r="AN34" i="11"/>
  <c r="AN35" i="11" s="1"/>
  <c r="E56" i="11" s="1"/>
  <c r="D48" i="12"/>
  <c r="D50" i="12" s="1"/>
  <c r="D46" i="12"/>
  <c r="B46" i="11"/>
  <c r="B48" i="11"/>
  <c r="B50" i="11" s="1"/>
  <c r="C46" i="12"/>
  <c r="AH34" i="13"/>
  <c r="AH35" i="13" s="1"/>
  <c r="D53" i="13" s="1"/>
  <c r="L59" i="13"/>
  <c r="D63" i="13"/>
  <c r="D54" i="13"/>
  <c r="L59" i="12"/>
  <c r="C54" i="12"/>
  <c r="AG34" i="12"/>
  <c r="AG35" i="12" s="1"/>
  <c r="C53" i="12" s="1"/>
  <c r="C63" i="12"/>
  <c r="AJ34" i="10"/>
  <c r="AJ35" i="10" s="1"/>
  <c r="E53" i="10" s="1"/>
  <c r="E54" i="10"/>
  <c r="N59" i="10"/>
  <c r="E63" i="10"/>
  <c r="U9" i="10"/>
  <c r="U14" i="10" s="1"/>
  <c r="U15" i="10"/>
  <c r="B63" i="10" s="1"/>
  <c r="E49" i="10"/>
  <c r="D49" i="12"/>
  <c r="B46" i="12"/>
  <c r="C55" i="11"/>
  <c r="C64" i="11"/>
  <c r="AD34" i="11"/>
  <c r="AV34" i="11"/>
  <c r="AV35" i="11" s="1"/>
  <c r="N47" i="11"/>
  <c r="N49" i="11"/>
  <c r="N45" i="11"/>
  <c r="C47" i="12"/>
  <c r="C49" i="12" s="1"/>
  <c r="U34" i="12"/>
  <c r="C49" i="10"/>
  <c r="B49" i="11"/>
  <c r="D54" i="12"/>
  <c r="M59" i="12"/>
  <c r="AH34" i="12"/>
  <c r="AH35" i="12" s="1"/>
  <c r="D53" i="12" s="1"/>
  <c r="D63" i="12"/>
  <c r="AE34" i="10"/>
  <c r="D55" i="10"/>
  <c r="D64" i="10"/>
  <c r="D54" i="10"/>
  <c r="AI34" i="10"/>
  <c r="AI35" i="10" s="1"/>
  <c r="D53" i="10" s="1"/>
  <c r="M59" i="10"/>
  <c r="D63" i="10"/>
  <c r="K59" i="10"/>
  <c r="AG34" i="10"/>
  <c r="AG35" i="10" s="1"/>
  <c r="B53" i="10" s="1"/>
  <c r="B54" i="10"/>
  <c r="L46" i="12"/>
  <c r="L48" i="12"/>
  <c r="AO34" i="12"/>
  <c r="AO35" i="12" s="1"/>
  <c r="L45" i="12"/>
  <c r="B57" i="11"/>
  <c r="AK34" i="11"/>
  <c r="AK35" i="11" s="1"/>
  <c r="B56" i="11" s="1"/>
  <c r="B46" i="13"/>
  <c r="D48" i="11"/>
  <c r="D50" i="11" s="1"/>
  <c r="D49" i="11"/>
  <c r="E46" i="10"/>
  <c r="E48" i="10"/>
  <c r="E50" i="10" s="1"/>
  <c r="C48" i="11"/>
  <c r="C50" i="11" s="1"/>
  <c r="C46" i="11"/>
  <c r="AT34" i="13"/>
  <c r="AT35" i="13" s="1"/>
  <c r="L49" i="13"/>
  <c r="L47" i="13"/>
  <c r="AH34" i="10"/>
  <c r="AH35" i="10" s="1"/>
  <c r="C53" i="10" s="1"/>
  <c r="C54" i="10"/>
  <c r="L59" i="10"/>
  <c r="C63" i="10"/>
  <c r="B57" i="12"/>
  <c r="AJ34" i="12"/>
  <c r="AJ35" i="12" s="1"/>
  <c r="B56" i="12" s="1"/>
  <c r="E48" i="11"/>
  <c r="E50" i="11" s="1"/>
  <c r="E46" i="11"/>
  <c r="B48" i="12" l="1"/>
  <c r="B50" i="12" s="1"/>
  <c r="E48" i="12"/>
  <c r="E50" i="12" s="1"/>
  <c r="B48" i="13"/>
  <c r="B50" i="13" s="1"/>
  <c r="E48" i="13"/>
  <c r="E50" i="13" s="1"/>
  <c r="C48" i="13"/>
  <c r="C50" i="13" s="1"/>
  <c r="D49" i="13"/>
  <c r="D48" i="13"/>
  <c r="D50" i="13" s="1"/>
  <c r="C48" i="12"/>
  <c r="C50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 Åkerlind</author>
  </authors>
  <commentList>
    <comment ref="BA2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Konsumerat foderkväve (N)= kgTS*Rp%/6,25</t>
        </r>
      </text>
    </comment>
    <comment ref="BE2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Konsumerat KRAV kg ts</t>
        </r>
      </text>
    </comment>
    <comment ref="Y39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Fodermedelstabell, 1999</t>
        </r>
      </text>
    </comment>
    <comment ref="Z3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Fodermedelstabell, 1999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 Åkerlind</author>
  </authors>
  <commentList>
    <comment ref="BA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Konsumerat foderkväve (N)= kgTS*Rp%/6,25</t>
        </r>
      </text>
    </comment>
    <comment ref="BE2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Konsumerat KRAV kg ts</t>
        </r>
      </text>
    </comment>
    <comment ref="Y39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Fodermedelstabell, 1999</t>
        </r>
      </text>
    </comment>
    <comment ref="Z3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Fodermedelstabell, 1999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 Åkerlind</author>
    <author>Cecilia Lindahl</author>
  </authors>
  <commentList>
    <comment ref="AZ2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Konsumerat foderkväve (N)= kgTS*Rp%/6,25</t>
        </r>
      </text>
    </comment>
    <comment ref="BD2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Konsumerat KRAV kg ts</t>
        </r>
      </text>
    </comment>
    <comment ref="X39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Fodermedelstabell, 1999</t>
        </r>
      </text>
    </comment>
    <comment ref="Y39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Fodermedelstabell, 1999</t>
        </r>
      </text>
    </comment>
    <comment ref="F62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95 % för tunga raser
105 % för lätta raser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 Åkerlind</author>
  </authors>
  <commentList>
    <comment ref="AZ2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Konsumerat foderkväve (N)= kgTS*Rp%/6,25</t>
        </r>
      </text>
    </comment>
    <comment ref="BA21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Konsumerat foderkväve (N)= kgTS*Rp%/6,25</t>
        </r>
      </text>
    </comment>
    <comment ref="BB21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Konsumerat foderkväve (N)= kgTS*Rp%/6,25</t>
        </r>
      </text>
    </comment>
    <comment ref="BC21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Konsumerat foderkväve (N)= kgTS*Rp%/6,25</t>
        </r>
      </text>
    </comment>
    <comment ref="X39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Fodermedelstabell, 1999</t>
        </r>
      </text>
    </comment>
    <comment ref="Y39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Maria  Åkerlind:</t>
        </r>
        <r>
          <rPr>
            <sz val="8"/>
            <color indexed="81"/>
            <rFont val="Tahoma"/>
            <family val="2"/>
          </rPr>
          <t xml:space="preserve">
Fodermedelstabell, 1999</t>
        </r>
      </text>
    </comment>
  </commentList>
</comments>
</file>

<file path=xl/sharedStrings.xml><?xml version="1.0" encoding="utf-8"?>
<sst xmlns="http://schemas.openxmlformats.org/spreadsheetml/2006/main" count="760" uniqueCount="242">
  <si>
    <t>ENDAGARSFODERSTATSKONTROLL</t>
  </si>
  <si>
    <t>Fyll i gulfärgade rutor</t>
  </si>
  <si>
    <t>Djurens näringsbehov</t>
  </si>
  <si>
    <t>räknad på kraftfoderstat</t>
  </si>
  <si>
    <t>Skriv ut sida 1 o 2</t>
  </si>
  <si>
    <t>Antal djur</t>
  </si>
  <si>
    <t>Vikt/prod</t>
  </si>
  <si>
    <t>Energi MJ</t>
  </si>
  <si>
    <t>Råprotein</t>
  </si>
  <si>
    <t>AAT g</t>
  </si>
  <si>
    <t>Ca g</t>
  </si>
  <si>
    <t>P g</t>
  </si>
  <si>
    <t>Förening:</t>
  </si>
  <si>
    <t>Vägningsdatum</t>
  </si>
  <si>
    <t xml:space="preserve">framtaget av Cecilia Lindahl </t>
  </si>
  <si>
    <t>Underhåll</t>
  </si>
  <si>
    <t>Bes nr</t>
  </si>
  <si>
    <t xml:space="preserve">Utförd av </t>
  </si>
  <si>
    <t>Taurus</t>
  </si>
  <si>
    <t>gr 1</t>
  </si>
  <si>
    <t>gr 2</t>
  </si>
  <si>
    <t>t</t>
  </si>
  <si>
    <t>v</t>
  </si>
  <si>
    <t>e</t>
  </si>
  <si>
    <t>gr 3</t>
  </si>
  <si>
    <t>gr 4</t>
  </si>
  <si>
    <t>grupp 1</t>
  </si>
  <si>
    <t>grupp 2</t>
  </si>
  <si>
    <t>grupp 3</t>
  </si>
  <si>
    <t>grupp 4</t>
  </si>
  <si>
    <t>Totalt</t>
  </si>
  <si>
    <t>Tillväxt</t>
  </si>
  <si>
    <t>Vikt</t>
  </si>
  <si>
    <t>Beräknad tillväxt/dag</t>
  </si>
  <si>
    <t>gr3</t>
  </si>
  <si>
    <t>Beräknad slaktvikt</t>
  </si>
  <si>
    <t>Dagar kvar till slakt</t>
  </si>
  <si>
    <t>SUMMA BEHOV</t>
  </si>
  <si>
    <t>Beräknad slaktdag</t>
  </si>
  <si>
    <t>Utfodrade mängder/grupp &amp; dag, kg</t>
  </si>
  <si>
    <t xml:space="preserve"> ---------------------------------per kg ts---------------------------------             </t>
  </si>
  <si>
    <t>Totalt foder</t>
  </si>
  <si>
    <t>Fodermedel</t>
  </si>
  <si>
    <t>Ts-halt, %</t>
  </si>
  <si>
    <t>Grf %</t>
  </si>
  <si>
    <t>Energi, MJ</t>
  </si>
  <si>
    <t>AAT, g</t>
  </si>
  <si>
    <t>Råprot, g</t>
  </si>
  <si>
    <t>NDF, g</t>
  </si>
  <si>
    <t>Ca, g</t>
  </si>
  <si>
    <t>P, g</t>
  </si>
  <si>
    <t>Pris, öre</t>
  </si>
  <si>
    <t>köpfoder</t>
  </si>
  <si>
    <t>KRAV</t>
  </si>
  <si>
    <t>Kgts foder</t>
  </si>
  <si>
    <t>kg ts grf</t>
  </si>
  <si>
    <t>Kostn kr</t>
  </si>
  <si>
    <t>InköptRp</t>
  </si>
  <si>
    <t>Ensilage 1:a skörd</t>
  </si>
  <si>
    <t>Ens 103</t>
  </si>
  <si>
    <t>hö</t>
  </si>
  <si>
    <t>HP-massa</t>
  </si>
  <si>
    <t>bas1</t>
  </si>
  <si>
    <t>Galax</t>
  </si>
  <si>
    <t>UNG1</t>
  </si>
  <si>
    <t>xxx</t>
  </si>
  <si>
    <t>Effekt normal</t>
  </si>
  <si>
    <t>Summa utfodrat kg</t>
  </si>
  <si>
    <t>ts-halt i foderstaten</t>
  </si>
  <si>
    <t>%grf</t>
  </si>
  <si>
    <t>MJ/kg ts</t>
  </si>
  <si>
    <t>gAAT/kg ts</t>
  </si>
  <si>
    <t>vikt</t>
  </si>
  <si>
    <t>Rp</t>
  </si>
  <si>
    <t>Aat</t>
  </si>
  <si>
    <t xml:space="preserve">Behov av </t>
  </si>
  <si>
    <t>kalcium</t>
  </si>
  <si>
    <t>fosfor</t>
  </si>
  <si>
    <t>Besättning</t>
  </si>
  <si>
    <t>Lev vikt</t>
  </si>
  <si>
    <t>Ca</t>
  </si>
  <si>
    <t>P</t>
  </si>
  <si>
    <t>Datum</t>
  </si>
  <si>
    <t>Riktvärde</t>
  </si>
  <si>
    <t>Resultat</t>
  </si>
  <si>
    <t>Mineralbalans</t>
  </si>
  <si>
    <t>Foderkons. kg ts/djur &amp; dag</t>
  </si>
  <si>
    <t>Ca/P-kvot</t>
  </si>
  <si>
    <t>Foderkons. %/lev. vikt</t>
  </si>
  <si>
    <t>1,8-3,0%</t>
  </si>
  <si>
    <t>Ca-balans +/-</t>
  </si>
  <si>
    <t>Grovfoder kg ts/djur &amp; dag</t>
  </si>
  <si>
    <t>P-balans +/-</t>
  </si>
  <si>
    <t>Kraftfoder kg ts/djur &amp; dag</t>
  </si>
  <si>
    <t>Ca % av ts</t>
  </si>
  <si>
    <t>Grovfoderandel, %</t>
  </si>
  <si>
    <t>&gt;30 %</t>
  </si>
  <si>
    <t>P % av ts</t>
  </si>
  <si>
    <t>&lt;</t>
  </si>
  <si>
    <t>Kraftfoder kg ts/kg tillväxt</t>
  </si>
  <si>
    <t>Energi, MJ/kg tillväxt</t>
  </si>
  <si>
    <t>Foderkostnad</t>
  </si>
  <si>
    <t>Rp% av ts</t>
  </si>
  <si>
    <t>&lt;15 %</t>
  </si>
  <si>
    <t>kr/kg TS</t>
  </si>
  <si>
    <t>Rp g/MJ</t>
  </si>
  <si>
    <t>10-13,1</t>
  </si>
  <si>
    <t>kr/djur&amp;dag</t>
  </si>
  <si>
    <t>AAT g/ MJ</t>
  </si>
  <si>
    <t>6,5-7,5</t>
  </si>
  <si>
    <t>kr/kg tillväxt</t>
  </si>
  <si>
    <t>NDF% av ts</t>
  </si>
  <si>
    <t>NDF %/lev. vikt</t>
  </si>
  <si>
    <t>Koncentrationsgrad MJ/kg ts</t>
  </si>
  <si>
    <t>Kväveeffektivitet</t>
  </si>
  <si>
    <t>KöttN/foderN</t>
  </si>
  <si>
    <t>16-24 %</t>
  </si>
  <si>
    <t>Inköpt N/totala N</t>
  </si>
  <si>
    <t>Utfodring % av norm</t>
  </si>
  <si>
    <t>Energi</t>
  </si>
  <si>
    <t>Ekologisk produktion</t>
  </si>
  <si>
    <t>AAT</t>
  </si>
  <si>
    <t>KRAV%</t>
  </si>
  <si>
    <t>&gt;95%</t>
  </si>
  <si>
    <t>Tillväxt enligt dagens utfodring</t>
  </si>
  <si>
    <t>Energi för tillväxt</t>
  </si>
  <si>
    <t>Tillväxt med dagens foder, kg</t>
  </si>
  <si>
    <t>Nytt beräknat slaktdatum</t>
  </si>
  <si>
    <t>räknad på blandfoderstat</t>
  </si>
  <si>
    <t>skapad av Cecilia Lindahl</t>
  </si>
  <si>
    <t>Utfodrade mängder/grupp, kg</t>
  </si>
  <si>
    <t>spmblandn</t>
  </si>
  <si>
    <t>soja</t>
  </si>
  <si>
    <t>&gt;35 %</t>
  </si>
  <si>
    <t>Ensilage</t>
  </si>
  <si>
    <t>Halm</t>
  </si>
  <si>
    <t>Hö</t>
  </si>
  <si>
    <t>Majsensilage</t>
  </si>
  <si>
    <t>Åkerböna</t>
  </si>
  <si>
    <t>Expro</t>
  </si>
  <si>
    <t>Blandsäd</t>
  </si>
  <si>
    <t>Effekt Intensiv</t>
  </si>
  <si>
    <t>Foder X</t>
  </si>
  <si>
    <t>Foder Y</t>
  </si>
  <si>
    <t>Foder Z</t>
  </si>
  <si>
    <t>ENDAGARS FODERSTATSKONTROLL</t>
  </si>
  <si>
    <t>Kolumn1</t>
  </si>
  <si>
    <t>x</t>
  </si>
  <si>
    <t>Indata</t>
  </si>
  <si>
    <t>Kgts foder2</t>
  </si>
  <si>
    <t>Kgts foder3</t>
  </si>
  <si>
    <t>Kgts foder4</t>
  </si>
  <si>
    <t>kg ts grf2</t>
  </si>
  <si>
    <t>kg ts grf3</t>
  </si>
  <si>
    <t>kg ts grf4</t>
  </si>
  <si>
    <t>Energi MJ2</t>
  </si>
  <si>
    <t>Energi MJ3</t>
  </si>
  <si>
    <t>Energi MJ4</t>
  </si>
  <si>
    <t>AAT, g10</t>
  </si>
  <si>
    <t>AAT, g102</t>
  </si>
  <si>
    <t>AAT, g103</t>
  </si>
  <si>
    <t>AAT, g104</t>
  </si>
  <si>
    <t>Råprot, g14</t>
  </si>
  <si>
    <t>Råprot, g142</t>
  </si>
  <si>
    <t>Råprot, g143</t>
  </si>
  <si>
    <t>Råprot, g144</t>
  </si>
  <si>
    <t>NDF, g18</t>
  </si>
  <si>
    <t>NDF, g182</t>
  </si>
  <si>
    <t>NDF, g183</t>
  </si>
  <si>
    <t>NDF, g184</t>
  </si>
  <si>
    <t>Ca, g22</t>
  </si>
  <si>
    <t>Ca, g222</t>
  </si>
  <si>
    <t>Ca, g223</t>
  </si>
  <si>
    <t>Ca, g224</t>
  </si>
  <si>
    <t>P, g26</t>
  </si>
  <si>
    <t>P, g262</t>
  </si>
  <si>
    <t>P, g263</t>
  </si>
  <si>
    <t>P, g264</t>
  </si>
  <si>
    <t>Kostn kr2</t>
  </si>
  <si>
    <t>Kostn kr3</t>
  </si>
  <si>
    <t>Kostn kr4</t>
  </si>
  <si>
    <t>InköptRp2</t>
  </si>
  <si>
    <t>InköptRp3</t>
  </si>
  <si>
    <t>InköptRp4</t>
  </si>
  <si>
    <t>SE nummer</t>
  </si>
  <si>
    <t>Omsb energi, MJ</t>
  </si>
  <si>
    <t>Omsb energi, MJ/kg tillväxt</t>
  </si>
  <si>
    <t>Omsb energikoncentr. MJ/kg ts</t>
  </si>
  <si>
    <t>Fosforeffektivitet</t>
  </si>
  <si>
    <t>KöttP/foderP</t>
  </si>
  <si>
    <t>Omsättbar energi</t>
  </si>
  <si>
    <t>Omsb energi för tillväxt</t>
  </si>
  <si>
    <t>Gr 1</t>
  </si>
  <si>
    <t>Gr 2</t>
  </si>
  <si>
    <t>Gr 3</t>
  </si>
  <si>
    <t>Gr 4</t>
  </si>
  <si>
    <t>Gr4</t>
  </si>
  <si>
    <t>Ca-differens +/-</t>
  </si>
  <si>
    <t>P-differens +/-</t>
  </si>
  <si>
    <t>1,2 till 7</t>
  </si>
  <si>
    <t xml:space="preserve"> &gt;0</t>
  </si>
  <si>
    <t>kr/djur/dag</t>
  </si>
  <si>
    <t>KöttP/FoderP</t>
  </si>
  <si>
    <t>EBWG</t>
  </si>
  <si>
    <t>Gain fat</t>
  </si>
  <si>
    <t>Gain protein</t>
  </si>
  <si>
    <t>FFM</t>
  </si>
  <si>
    <t>heifer/steer factor</t>
  </si>
  <si>
    <t>bull factor</t>
  </si>
  <si>
    <t>EBW</t>
  </si>
  <si>
    <t>factor 1 H/S</t>
  </si>
  <si>
    <t>factor 1 B</t>
  </si>
  <si>
    <t>factor 2 H/S</t>
  </si>
  <si>
    <t>factor 2 B</t>
  </si>
  <si>
    <t>Fat_mass</t>
  </si>
  <si>
    <t>factor 3 HS</t>
  </si>
  <si>
    <t>factor 3 B</t>
  </si>
  <si>
    <t>Factor 4 HS</t>
  </si>
  <si>
    <t>FM</t>
  </si>
  <si>
    <t>factor 2 HS</t>
  </si>
  <si>
    <t>factor 2B</t>
  </si>
  <si>
    <t>factor 5 HS</t>
  </si>
  <si>
    <t>g/d</t>
  </si>
  <si>
    <t>kg</t>
  </si>
  <si>
    <t>B=1</t>
  </si>
  <si>
    <t>NorFor 2011</t>
  </si>
  <si>
    <t>B=0,0442</t>
  </si>
  <si>
    <t>3,9% av gain prot</t>
  </si>
  <si>
    <t>NASEM beef 2016</t>
  </si>
  <si>
    <t>Foderkons. kg ts/djur/dag</t>
  </si>
  <si>
    <t>Grovfoder kg ts/djur/dag</t>
  </si>
  <si>
    <t>Kraftfoder kg ts/djur/dag</t>
  </si>
  <si>
    <t>Omsb energi, MJ/kg tillv.</t>
  </si>
  <si>
    <t>Omsb energikonc. MJ/kg ts</t>
  </si>
  <si>
    <t>.</t>
  </si>
  <si>
    <t>factor 1 HS</t>
  </si>
  <si>
    <t>Grupp 1</t>
  </si>
  <si>
    <t>Grupp 2</t>
  </si>
  <si>
    <t>Grupp 3</t>
  </si>
  <si>
    <t>Grupp 4</t>
  </si>
  <si>
    <t>skapad av Cecilia Lindahl, Taurus baserat på Fodertabeller för idisslare 2003</t>
  </si>
  <si>
    <t>Uppdaterad av Emelie Uggla och Maria Åkerlind, Växa 2024-11-11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</si>
</sst>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r&quot;_-;\-* #,##0.00\ &quot;kr&quot;_-;_-* &quot;-&quot;??\ &quot;kr&quot;_-;_-@_-"/>
    <numFmt numFmtId="43" formatCode="_-* #,##0.00\ _k_r_-;\-* #,##0.00\ _k_r_-;_-* &quot;-&quot;??\ _k_r_-;_-@_-"/>
    <numFmt numFmtId="164" formatCode="0.0"/>
    <numFmt numFmtId="165" formatCode="0.0000"/>
    <numFmt numFmtId="166" formatCode="0.0%"/>
    <numFmt numFmtId="167" formatCode="_-* #,##0\ &quot;kr&quot;_-;\-* #,##0\ &quot;kr&quot;_-;_-* &quot;-&quot;??\ &quot;kr&quot;_-;_-@_-"/>
    <numFmt numFmtId="168" formatCode="yy/mm/dd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2"/>
      <color indexed="60"/>
      <name val="Arial"/>
      <family val="2"/>
    </font>
    <font>
      <b/>
      <i/>
      <sz val="10"/>
      <name val="Arial"/>
      <family val="2"/>
    </font>
    <font>
      <b/>
      <sz val="20"/>
      <name val="Arial"/>
      <family val="2"/>
    </font>
    <font>
      <b/>
      <u/>
      <sz val="10"/>
      <name val="Arial"/>
      <family val="2"/>
    </font>
    <font>
      <sz val="10"/>
      <color indexed="6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14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8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i/>
      <sz val="12"/>
      <name val="Arial"/>
      <family val="2"/>
    </font>
    <font>
      <b/>
      <i/>
      <sz val="12"/>
      <color indexed="10"/>
      <name val="Arial"/>
      <family val="2"/>
    </font>
    <font>
      <b/>
      <i/>
      <sz val="10"/>
      <color indexed="10"/>
      <name val="Arial"/>
      <family val="2"/>
    </font>
    <font>
      <b/>
      <sz val="18"/>
      <color theme="3"/>
      <name val="Tw Cen MT Condensed"/>
      <family val="2"/>
      <scheme val="maj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8">
    <xf numFmtId="0" fontId="0" fillId="0" borderId="0" xfId="0"/>
    <xf numFmtId="0" fontId="5" fillId="0" borderId="0" xfId="0" applyFont="1" applyFill="1"/>
    <xf numFmtId="0" fontId="3" fillId="0" borderId="0" xfId="0" applyFont="1" applyFill="1"/>
    <xf numFmtId="0" fontId="10" fillId="0" borderId="0" xfId="0" applyFont="1" applyFill="1"/>
    <xf numFmtId="0" fontId="6" fillId="0" borderId="0" xfId="0" applyFont="1" applyFill="1"/>
    <xf numFmtId="1" fontId="5" fillId="0" borderId="0" xfId="0" applyNumberFormat="1" applyFont="1" applyFill="1"/>
    <xf numFmtId="9" fontId="3" fillId="2" borderId="1" xfId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0" fontId="8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/>
    <xf numFmtId="0" fontId="15" fillId="0" borderId="0" xfId="0" applyFont="1" applyFill="1"/>
    <xf numFmtId="0" fontId="5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textRotation="105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/>
    <xf numFmtId="1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166" fontId="3" fillId="0" borderId="0" xfId="1" applyNumberFormat="1" applyFont="1" applyFill="1"/>
    <xf numFmtId="9" fontId="3" fillId="0" borderId="0" xfId="1" applyFont="1" applyFill="1"/>
    <xf numFmtId="9" fontId="2" fillId="0" borderId="0" xfId="1" applyFont="1" applyFill="1"/>
    <xf numFmtId="9" fontId="3" fillId="0" borderId="0" xfId="1" applyFont="1" applyFill="1" applyAlignment="1">
      <alignment horizontal="center"/>
    </xf>
    <xf numFmtId="0" fontId="4" fillId="0" borderId="0" xfId="0" applyFont="1" applyFill="1"/>
    <xf numFmtId="9" fontId="7" fillId="0" borderId="0" xfId="1" applyFont="1" applyFill="1"/>
    <xf numFmtId="0" fontId="7" fillId="0" borderId="0" xfId="0" applyFont="1" applyFill="1"/>
    <xf numFmtId="9" fontId="7" fillId="0" borderId="0" xfId="0" applyNumberFormat="1" applyFont="1" applyFill="1"/>
    <xf numFmtId="1" fontId="3" fillId="0" borderId="0" xfId="0" applyNumberFormat="1" applyFont="1" applyFill="1" applyAlignment="1">
      <alignment horizontal="left" indent="1"/>
    </xf>
    <xf numFmtId="166" fontId="3" fillId="2" borderId="1" xfId="1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12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6" fontId="5" fillId="0" borderId="0" xfId="1" applyNumberFormat="1" applyFont="1" applyFill="1"/>
    <xf numFmtId="9" fontId="5" fillId="0" borderId="0" xfId="1" applyFont="1" applyFill="1"/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9" fontId="5" fillId="0" borderId="0" xfId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9" fontId="3" fillId="2" borderId="2" xfId="0" applyNumberFormat="1" applyFont="1" applyFill="1" applyBorder="1" applyAlignment="1">
      <alignment horizontal="center"/>
    </xf>
    <xf numFmtId="0" fontId="3" fillId="2" borderId="1" xfId="0" applyFont="1" applyFill="1" applyBorder="1"/>
    <xf numFmtId="1" fontId="3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right"/>
    </xf>
    <xf numFmtId="2" fontId="19" fillId="0" borderId="0" xfId="0" applyNumberFormat="1" applyFont="1" applyFill="1" applyBorder="1" applyAlignment="1">
      <alignment horizontal="left"/>
    </xf>
    <xf numFmtId="1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9" fontId="3" fillId="3" borderId="0" xfId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44" fontId="3" fillId="3" borderId="0" xfId="4" applyFont="1" applyFill="1" applyAlignment="1">
      <alignment horizontal="center"/>
    </xf>
    <xf numFmtId="166" fontId="3" fillId="3" borderId="0" xfId="1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2" fontId="5" fillId="0" borderId="0" xfId="0" applyNumberFormat="1" applyFont="1" applyFill="1"/>
    <xf numFmtId="166" fontId="3" fillId="0" borderId="0" xfId="1" applyNumberFormat="1" applyFont="1" applyFill="1" applyAlignment="1">
      <alignment horizontal="center"/>
    </xf>
    <xf numFmtId="0" fontId="3" fillId="4" borderId="5" xfId="0" applyFont="1" applyFill="1" applyBorder="1" applyAlignment="1">
      <alignment horizontal="center"/>
    </xf>
    <xf numFmtId="9" fontId="5" fillId="0" borderId="0" xfId="1" applyNumberFormat="1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23" fillId="0" borderId="0" xfId="0" applyFont="1" applyFill="1" applyBorder="1"/>
    <xf numFmtId="0" fontId="23" fillId="0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0" xfId="0" applyFont="1" applyFill="1"/>
    <xf numFmtId="9" fontId="3" fillId="2" borderId="4" xfId="0" applyNumberFormat="1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164" fontId="25" fillId="3" borderId="1" xfId="0" applyNumberFormat="1" applyFont="1" applyFill="1" applyBorder="1" applyAlignment="1">
      <alignment horizontal="center"/>
    </xf>
    <xf numFmtId="167" fontId="25" fillId="3" borderId="1" xfId="4" applyNumberFormat="1" applyFont="1" applyFill="1" applyBorder="1" applyAlignment="1">
      <alignment horizontal="center"/>
    </xf>
    <xf numFmtId="164" fontId="25" fillId="3" borderId="4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0" fontId="3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3" fillId="4" borderId="0" xfId="0" applyFont="1" applyFill="1"/>
    <xf numFmtId="0" fontId="3" fillId="4" borderId="6" xfId="0" applyFont="1" applyFill="1" applyBorder="1"/>
    <xf numFmtId="1" fontId="3" fillId="4" borderId="0" xfId="0" applyNumberFormat="1" applyFont="1" applyFill="1" applyAlignment="1">
      <alignment horizontal="center"/>
    </xf>
    <xf numFmtId="0" fontId="7" fillId="0" borderId="0" xfId="0" applyFont="1" applyFill="1" applyBorder="1"/>
    <xf numFmtId="0" fontId="13" fillId="2" borderId="0" xfId="0" applyFont="1" applyFill="1"/>
    <xf numFmtId="0" fontId="19" fillId="0" borderId="6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0" fontId="19" fillId="0" borderId="7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26" fillId="0" borderId="0" xfId="0" applyFont="1" applyFill="1"/>
    <xf numFmtId="0" fontId="27" fillId="0" borderId="0" xfId="0" applyFont="1" applyFill="1" applyAlignment="1">
      <alignment horizontal="center"/>
    </xf>
    <xf numFmtId="0" fontId="5" fillId="2" borderId="1" xfId="0" applyFont="1" applyFill="1" applyBorder="1" applyAlignment="1"/>
    <xf numFmtId="0" fontId="19" fillId="2" borderId="1" xfId="0" applyFont="1" applyFill="1" applyBorder="1" applyAlignment="1"/>
    <xf numFmtId="1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" fontId="26" fillId="0" borderId="0" xfId="0" applyNumberFormat="1" applyFont="1" applyFill="1"/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center"/>
    </xf>
    <xf numFmtId="9" fontId="5" fillId="0" borderId="0" xfId="1" applyFont="1" applyFill="1" applyBorder="1"/>
    <xf numFmtId="166" fontId="5" fillId="0" borderId="0" xfId="1" applyNumberFormat="1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166" fontId="26" fillId="0" borderId="0" xfId="1" applyNumberFormat="1" applyFont="1" applyFill="1" applyBorder="1"/>
    <xf numFmtId="0" fontId="26" fillId="0" borderId="0" xfId="0" applyFont="1" applyFill="1" applyBorder="1"/>
    <xf numFmtId="9" fontId="19" fillId="0" borderId="0" xfId="1" applyFont="1" applyFill="1" applyBorder="1" applyAlignment="1">
      <alignment horizontal="center"/>
    </xf>
    <xf numFmtId="0" fontId="26" fillId="0" borderId="0" xfId="0" applyFont="1" applyFill="1" applyAlignment="1">
      <alignment horizontal="left"/>
    </xf>
    <xf numFmtId="0" fontId="5" fillId="0" borderId="0" xfId="0" applyFont="1" applyBorder="1" applyAlignment="1">
      <alignment horizontal="left"/>
    </xf>
    <xf numFmtId="1" fontId="19" fillId="0" borderId="0" xfId="0" applyNumberFormat="1" applyFont="1" applyFill="1" applyAlignment="1">
      <alignment horizontal="center"/>
    </xf>
    <xf numFmtId="1" fontId="19" fillId="0" borderId="0" xfId="0" applyNumberFormat="1" applyFont="1" applyFill="1" applyAlignment="1">
      <alignment horizontal="left"/>
    </xf>
    <xf numFmtId="168" fontId="18" fillId="0" borderId="0" xfId="0" applyNumberFormat="1" applyFont="1" applyFill="1"/>
    <xf numFmtId="0" fontId="5" fillId="0" borderId="0" xfId="0" applyFont="1" applyFill="1" applyBorder="1" applyAlignment="1"/>
    <xf numFmtId="0" fontId="19" fillId="0" borderId="0" xfId="0" applyFont="1" applyFill="1" applyBorder="1" applyAlignment="1"/>
    <xf numFmtId="164" fontId="19" fillId="2" borderId="1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left"/>
    </xf>
    <xf numFmtId="9" fontId="3" fillId="3" borderId="8" xfId="1" applyFont="1" applyFill="1" applyBorder="1" applyAlignment="1">
      <alignment horizontal="center"/>
    </xf>
    <xf numFmtId="0" fontId="24" fillId="0" borderId="0" xfId="0" applyFont="1" applyFill="1" applyAlignment="1">
      <alignment horizontal="left"/>
    </xf>
    <xf numFmtId="164" fontId="3" fillId="3" borderId="8" xfId="0" applyNumberFormat="1" applyFont="1" applyFill="1" applyBorder="1" applyAlignment="1">
      <alignment horizontal="center"/>
    </xf>
    <xf numFmtId="9" fontId="3" fillId="3" borderId="3" xfId="1" applyFont="1" applyFill="1" applyBorder="1" applyAlignment="1">
      <alignment horizontal="center"/>
    </xf>
    <xf numFmtId="9" fontId="5" fillId="0" borderId="0" xfId="1" applyNumberFormat="1" applyFont="1" applyFill="1"/>
    <xf numFmtId="10" fontId="5" fillId="0" borderId="0" xfId="1" applyNumberFormat="1" applyFont="1" applyFill="1"/>
    <xf numFmtId="2" fontId="3" fillId="0" borderId="0" xfId="0" applyNumberFormat="1" applyFont="1" applyFill="1"/>
    <xf numFmtId="164" fontId="5" fillId="0" borderId="0" xfId="3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164" fontId="28" fillId="0" borderId="0" xfId="0" applyNumberFormat="1" applyFont="1" applyFill="1" applyBorder="1" applyAlignment="1">
      <alignment horizontal="left"/>
    </xf>
    <xf numFmtId="1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/>
    </xf>
    <xf numFmtId="166" fontId="28" fillId="0" borderId="0" xfId="1" applyNumberFormat="1" applyFont="1" applyFill="1" applyAlignment="1">
      <alignment horizontal="left"/>
    </xf>
    <xf numFmtId="166" fontId="28" fillId="0" borderId="0" xfId="1" applyNumberFormat="1" applyFont="1" applyFill="1" applyBorder="1" applyAlignment="1">
      <alignment horizontal="left"/>
    </xf>
    <xf numFmtId="9" fontId="28" fillId="0" borderId="0" xfId="1" applyFont="1" applyFill="1" applyBorder="1"/>
    <xf numFmtId="164" fontId="28" fillId="0" borderId="0" xfId="1" applyNumberFormat="1" applyFont="1" applyFill="1" applyBorder="1"/>
    <xf numFmtId="9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168" fontId="3" fillId="0" borderId="0" xfId="0" applyNumberFormat="1" applyFont="1" applyFill="1" applyBorder="1" applyAlignment="1">
      <alignment horizontal="center"/>
    </xf>
    <xf numFmtId="168" fontId="3" fillId="0" borderId="0" xfId="0" applyNumberFormat="1" applyFont="1" applyFill="1"/>
    <xf numFmtId="0" fontId="2" fillId="4" borderId="0" xfId="0" applyFont="1" applyFill="1" applyAlignment="1"/>
    <xf numFmtId="1" fontId="3" fillId="4" borderId="1" xfId="1" applyNumberFormat="1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/>
    <xf numFmtId="164" fontId="3" fillId="4" borderId="1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15" fillId="2" borderId="0" xfId="0" applyFont="1" applyFill="1" applyBorder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164" fontId="2" fillId="2" borderId="1" xfId="0" applyNumberFormat="1" applyFont="1" applyFill="1" applyBorder="1" applyAlignment="1">
      <alignment horizontal="center"/>
    </xf>
    <xf numFmtId="0" fontId="29" fillId="0" borderId="0" xfId="0" applyFont="1" applyFill="1"/>
    <xf numFmtId="0" fontId="4" fillId="0" borderId="0" xfId="0" applyFont="1" applyFill="1" applyBorder="1" applyAlignment="1">
      <alignment horizontal="right"/>
    </xf>
    <xf numFmtId="0" fontId="3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textRotation="105"/>
    </xf>
    <xf numFmtId="0" fontId="31" fillId="0" borderId="0" xfId="2" applyFill="1" applyProtection="1"/>
    <xf numFmtId="1" fontId="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/>
    <xf numFmtId="0" fontId="5" fillId="5" borderId="0" xfId="0" applyFont="1" applyFill="1" applyBorder="1" applyAlignment="1"/>
    <xf numFmtId="164" fontId="5" fillId="5" borderId="0" xfId="0" applyNumberFormat="1" applyFont="1" applyFill="1" applyBorder="1" applyAlignment="1">
      <alignment horizontal="center"/>
    </xf>
    <xf numFmtId="0" fontId="5" fillId="5" borderId="0" xfId="0" applyFont="1" applyFill="1"/>
    <xf numFmtId="1" fontId="3" fillId="5" borderId="0" xfId="0" applyNumberFormat="1" applyFont="1" applyFill="1"/>
    <xf numFmtId="0" fontId="19" fillId="5" borderId="0" xfId="0" applyFont="1" applyFill="1" applyBorder="1" applyAlignment="1"/>
    <xf numFmtId="0" fontId="3" fillId="0" borderId="0" xfId="0" applyFont="1" applyFill="1" applyAlignment="1">
      <alignment horizontal="left"/>
    </xf>
    <xf numFmtId="2" fontId="3" fillId="0" borderId="0" xfId="0" applyNumberFormat="1" applyFont="1" applyFill="1" applyAlignment="1">
      <alignment horizontal="left"/>
    </xf>
    <xf numFmtId="166" fontId="3" fillId="2" borderId="1" xfId="1" applyNumberFormat="1" applyFont="1" applyFill="1" applyBorder="1" applyAlignment="1" applyProtection="1">
      <alignment horizontal="center"/>
      <protection locked="0"/>
    </xf>
    <xf numFmtId="9" fontId="3" fillId="2" borderId="1" xfId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/>
    <xf numFmtId="2" fontId="3" fillId="0" borderId="0" xfId="0" applyNumberFormat="1" applyFont="1" applyFill="1" applyAlignment="1">
      <alignment horizontal="right"/>
    </xf>
    <xf numFmtId="164" fontId="33" fillId="2" borderId="1" xfId="0" applyNumberFormat="1" applyFont="1" applyFill="1" applyBorder="1" applyAlignment="1">
      <alignment horizontal="center"/>
    </xf>
    <xf numFmtId="0" fontId="33" fillId="2" borderId="1" xfId="0" applyFont="1" applyFill="1" applyBorder="1" applyAlignment="1"/>
    <xf numFmtId="9" fontId="32" fillId="2" borderId="1" xfId="0" applyNumberFormat="1" applyFont="1" applyFill="1" applyBorder="1" applyAlignment="1">
      <alignment horizontal="center"/>
    </xf>
    <xf numFmtId="166" fontId="32" fillId="2" borderId="1" xfId="0" applyNumberFormat="1" applyFont="1" applyFill="1" applyBorder="1" applyAlignment="1">
      <alignment horizontal="center"/>
    </xf>
    <xf numFmtId="9" fontId="32" fillId="2" borderId="1" xfId="1" applyNumberFormat="1" applyFont="1" applyFill="1" applyBorder="1" applyAlignment="1">
      <alignment horizontal="center"/>
    </xf>
    <xf numFmtId="164" fontId="32" fillId="2" borderId="1" xfId="0" applyNumberFormat="1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/>
    </xf>
    <xf numFmtId="9" fontId="32" fillId="2" borderId="14" xfId="0" applyNumberFormat="1" applyFont="1" applyFill="1" applyBorder="1" applyAlignment="1">
      <alignment horizontal="center"/>
    </xf>
    <xf numFmtId="166" fontId="32" fillId="2" borderId="1" xfId="1" applyNumberFormat="1" applyFont="1" applyFill="1" applyBorder="1" applyAlignment="1">
      <alignment horizontal="center"/>
    </xf>
    <xf numFmtId="9" fontId="32" fillId="2" borderId="15" xfId="0" applyNumberFormat="1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34" fillId="2" borderId="1" xfId="1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34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2" fillId="2" borderId="15" xfId="0" applyNumberFormat="1" applyFont="1" applyFill="1" applyBorder="1" applyAlignment="1">
      <alignment horizontal="center"/>
    </xf>
    <xf numFmtId="0" fontId="32" fillId="2" borderId="14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/>
    <xf numFmtId="1" fontId="3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14" fontId="3" fillId="0" borderId="0" xfId="0" applyNumberFormat="1" applyFont="1" applyFill="1" applyBorder="1" applyAlignment="1">
      <alignment horizontal="center"/>
    </xf>
    <xf numFmtId="14" fontId="3" fillId="0" borderId="0" xfId="0" applyNumberFormat="1" applyFont="1" applyFill="1"/>
    <xf numFmtId="1" fontId="18" fillId="0" borderId="0" xfId="0" applyNumberFormat="1" applyFont="1" applyFill="1"/>
    <xf numFmtId="166" fontId="18" fillId="0" borderId="0" xfId="1" applyNumberFormat="1" applyFont="1" applyFill="1"/>
    <xf numFmtId="9" fontId="18" fillId="0" borderId="0" xfId="1" applyNumberFormat="1" applyFont="1" applyFill="1" applyAlignment="1">
      <alignment horizontal="center"/>
    </xf>
    <xf numFmtId="9" fontId="18" fillId="0" borderId="0" xfId="1" applyFont="1" applyFill="1" applyAlignment="1">
      <alignment horizontal="center"/>
    </xf>
    <xf numFmtId="164" fontId="36" fillId="0" borderId="0" xfId="1" applyNumberFormat="1" applyFont="1" applyFill="1" applyBorder="1"/>
    <xf numFmtId="0" fontId="1" fillId="0" borderId="0" xfId="0" applyFont="1" applyFill="1"/>
    <xf numFmtId="1" fontId="28" fillId="0" borderId="0" xfId="0" applyNumberFormat="1" applyFont="1" applyFill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/>
    <xf numFmtId="9" fontId="18" fillId="0" borderId="0" xfId="1" applyFont="1" applyFill="1" applyBorder="1"/>
    <xf numFmtId="0" fontId="18" fillId="0" borderId="0" xfId="0" applyFont="1" applyBorder="1" applyAlignment="1">
      <alignment horizontal="left"/>
    </xf>
    <xf numFmtId="0" fontId="19" fillId="0" borderId="0" xfId="0" applyFont="1" applyFill="1"/>
    <xf numFmtId="166" fontId="37" fillId="0" borderId="0" xfId="1" applyNumberFormat="1" applyFont="1" applyFill="1" applyBorder="1"/>
    <xf numFmtId="0" fontId="37" fillId="0" borderId="0" xfId="0" applyFont="1" applyFill="1" applyAlignment="1">
      <alignment horizontal="left"/>
    </xf>
    <xf numFmtId="0" fontId="37" fillId="0" borderId="0" xfId="0" applyFont="1" applyFill="1" applyBorder="1"/>
    <xf numFmtId="1" fontId="19" fillId="0" borderId="0" xfId="0" applyNumberFormat="1" applyFont="1" applyFill="1"/>
    <xf numFmtId="0" fontId="19" fillId="0" borderId="0" xfId="0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38" fillId="0" borderId="0" xfId="0" applyFont="1" applyFill="1" applyBorder="1"/>
    <xf numFmtId="0" fontId="2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38" fillId="0" borderId="0" xfId="0" applyFont="1" applyFill="1"/>
    <xf numFmtId="9" fontId="3" fillId="2" borderId="1" xfId="0" applyNumberFormat="1" applyFont="1" applyFill="1" applyBorder="1" applyAlignment="1" applyProtection="1">
      <alignment horizontal="center"/>
      <protection locked="0"/>
    </xf>
    <xf numFmtId="0" fontId="29" fillId="6" borderId="0" xfId="0" applyFont="1" applyFill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right"/>
    </xf>
    <xf numFmtId="0" fontId="5" fillId="7" borderId="0" xfId="0" applyFont="1" applyFill="1"/>
    <xf numFmtId="1" fontId="5" fillId="7" borderId="0" xfId="0" applyNumberFormat="1" applyFont="1" applyFill="1"/>
    <xf numFmtId="164" fontId="5" fillId="7" borderId="0" xfId="0" applyNumberFormat="1" applyFont="1" applyFill="1"/>
    <xf numFmtId="0" fontId="13" fillId="6" borderId="0" xfId="0" applyFont="1" applyFill="1"/>
    <xf numFmtId="0" fontId="5" fillId="6" borderId="0" xfId="0" applyFont="1" applyFill="1"/>
    <xf numFmtId="1" fontId="2" fillId="0" borderId="0" xfId="0" applyNumberFormat="1" applyFont="1" applyFill="1" applyAlignment="1">
      <alignment horizontal="left"/>
    </xf>
    <xf numFmtId="166" fontId="19" fillId="0" borderId="0" xfId="1" applyNumberFormat="1" applyFont="1" applyFill="1" applyBorder="1"/>
    <xf numFmtId="9" fontId="18" fillId="0" borderId="0" xfId="1" applyFont="1" applyFill="1" applyBorder="1" applyAlignment="1">
      <alignment horizontal="center"/>
    </xf>
    <xf numFmtId="0" fontId="36" fillId="0" borderId="0" xfId="0" applyFont="1" applyFill="1" applyBorder="1"/>
    <xf numFmtId="1" fontId="35" fillId="0" borderId="16" xfId="0" applyNumberFormat="1" applyFont="1" applyFill="1" applyBorder="1" applyAlignment="1">
      <alignment horizontal="center"/>
    </xf>
    <xf numFmtId="0" fontId="35" fillId="0" borderId="16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168" fontId="19" fillId="2" borderId="0" xfId="0" applyNumberFormat="1" applyFont="1" applyFill="1" applyBorder="1" applyAlignment="1">
      <alignment horizontal="center"/>
    </xf>
    <xf numFmtId="0" fontId="0" fillId="0" borderId="0" xfId="0" applyAlignment="1"/>
    <xf numFmtId="0" fontId="9" fillId="0" borderId="9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Alignment="1"/>
    <xf numFmtId="1" fontId="3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left"/>
    </xf>
    <xf numFmtId="14" fontId="19" fillId="2" borderId="0" xfId="0" applyNumberFormat="1" applyFont="1" applyFill="1" applyBorder="1" applyAlignment="1">
      <alignment horizontal="center"/>
    </xf>
    <xf numFmtId="14" fontId="0" fillId="0" borderId="0" xfId="0" applyNumberFormat="1" applyAlignment="1"/>
    <xf numFmtId="14" fontId="19" fillId="2" borderId="8" xfId="0" applyNumberFormat="1" applyFont="1" applyFill="1" applyBorder="1" applyAlignment="1">
      <alignment horizontal="left"/>
    </xf>
    <xf numFmtId="14" fontId="0" fillId="0" borderId="12" xfId="0" applyNumberForma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0" fillId="0" borderId="5" xfId="0" applyBorder="1" applyAlignment="1"/>
  </cellXfs>
  <cellStyles count="5">
    <cellStyle name="Normal" xfId="0" builtinId="0"/>
    <cellStyle name="Procent" xfId="1" builtinId="5"/>
    <cellStyle name="Rubrik" xfId="2" builtinId="15"/>
    <cellStyle name="Tusental" xfId="3" builtinId="3"/>
    <cellStyle name="Valuta" xfId="4" builtinId="4"/>
  </cellStyles>
  <dxfs count="52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indexed="47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indexed="47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indexed="47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indexed="47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indexed="47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solid">
          <fgColor indexed="64"/>
          <bgColor indexed="47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7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43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246944</xdr:colOff>
      <xdr:row>0</xdr:row>
      <xdr:rowOff>0</xdr:rowOff>
    </xdr:from>
    <xdr:to>
      <xdr:col>10</xdr:col>
      <xdr:colOff>579967</xdr:colOff>
      <xdr:row>5</xdr:row>
      <xdr:rowOff>42334</xdr:rowOff>
    </xdr:to>
    <xdr:pic>
      <xdr:nvPicPr>
        <xdr:cNvPr id="2" name="Bildobjekt 1" descr="EU:s logotyp">
          <a:extLst>
            <a:ext uri="{FF2B5EF4-FFF2-40B4-BE49-F238E27FC236}">
              <a16:creationId xmlns:a16="http://schemas.microsoft.com/office/drawing/2014/main" id="{3998E578-6963-463B-BF10-C916DA310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1111" y="0"/>
          <a:ext cx="1313745" cy="1284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592668</xdr:colOff>
      <xdr:row>35</xdr:row>
      <xdr:rowOff>91723</xdr:rowOff>
    </xdr:from>
    <xdr:to>
      <xdr:col>10</xdr:col>
      <xdr:colOff>325968</xdr:colOff>
      <xdr:row>40</xdr:row>
      <xdr:rowOff>148168</xdr:rowOff>
    </xdr:to>
    <xdr:pic>
      <xdr:nvPicPr>
        <xdr:cNvPr id="3" name="Bildobjekt 2" descr="EU:s logotyp">
          <a:extLst>
            <a:ext uri="{FF2B5EF4-FFF2-40B4-BE49-F238E27FC236}">
              <a16:creationId xmlns:a16="http://schemas.microsoft.com/office/drawing/2014/main" id="{136AEDB4-5A6E-408B-ADD9-F3AA4CA02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112" y="7344834"/>
          <a:ext cx="1313745" cy="1284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7056</xdr:colOff>
      <xdr:row>35</xdr:row>
      <xdr:rowOff>112889</xdr:rowOff>
    </xdr:from>
    <xdr:to>
      <xdr:col>14</xdr:col>
      <xdr:colOff>514351</xdr:colOff>
      <xdr:row>41</xdr:row>
      <xdr:rowOff>65617</xdr:rowOff>
    </xdr:to>
    <xdr:pic>
      <xdr:nvPicPr>
        <xdr:cNvPr id="4" name="Bildobjekt 3" descr="Greppa Näringens logotyp">
          <a:extLst>
            <a:ext uri="{FF2B5EF4-FFF2-40B4-BE49-F238E27FC236}">
              <a16:creationId xmlns:a16="http://schemas.microsoft.com/office/drawing/2014/main" id="{D9C37C9B-CAD7-4C14-991F-BA2E7A38E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1612" y="7366000"/>
          <a:ext cx="2616906" cy="137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507295</xdr:colOff>
      <xdr:row>5</xdr:row>
      <xdr:rowOff>136172</xdr:rowOff>
    </xdr:to>
    <xdr:pic>
      <xdr:nvPicPr>
        <xdr:cNvPr id="5" name="Bildobjekt 4" descr="Greppa Näringens logotyp">
          <a:extLst>
            <a:ext uri="{FF2B5EF4-FFF2-40B4-BE49-F238E27FC236}">
              <a16:creationId xmlns:a16="http://schemas.microsoft.com/office/drawing/2014/main" id="{D49FD158-0506-467F-861A-E1D2E681C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4556" y="0"/>
          <a:ext cx="2616906" cy="137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373944</xdr:colOff>
      <xdr:row>1</xdr:row>
      <xdr:rowOff>21165</xdr:rowOff>
    </xdr:from>
    <xdr:to>
      <xdr:col>10</xdr:col>
      <xdr:colOff>8467</xdr:colOff>
      <xdr:row>6</xdr:row>
      <xdr:rowOff>162277</xdr:rowOff>
    </xdr:to>
    <xdr:pic>
      <xdr:nvPicPr>
        <xdr:cNvPr id="2" name="Bildobjekt 1" descr="EU:s logoty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1722" y="218721"/>
          <a:ext cx="1313745" cy="1284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232832</xdr:colOff>
      <xdr:row>1</xdr:row>
      <xdr:rowOff>28222</xdr:rowOff>
    </xdr:from>
    <xdr:to>
      <xdr:col>14</xdr:col>
      <xdr:colOff>345016</xdr:colOff>
      <xdr:row>7</xdr:row>
      <xdr:rowOff>65617</xdr:rowOff>
    </xdr:to>
    <xdr:pic>
      <xdr:nvPicPr>
        <xdr:cNvPr id="3" name="Bildobjekt 2" descr="Greppa Näringens logotyp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7443" y="225778"/>
          <a:ext cx="2616906" cy="137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21168</xdr:colOff>
      <xdr:row>35</xdr:row>
      <xdr:rowOff>49388</xdr:rowOff>
    </xdr:from>
    <xdr:to>
      <xdr:col>14</xdr:col>
      <xdr:colOff>133352</xdr:colOff>
      <xdr:row>41</xdr:row>
      <xdr:rowOff>30338</xdr:rowOff>
    </xdr:to>
    <xdr:pic>
      <xdr:nvPicPr>
        <xdr:cNvPr id="4" name="Bildobjekt 3" descr="Greppa Näringens logoty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779" y="7168444"/>
          <a:ext cx="2616906" cy="137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776112</xdr:colOff>
      <xdr:row>35</xdr:row>
      <xdr:rowOff>42333</xdr:rowOff>
    </xdr:from>
    <xdr:to>
      <xdr:col>9</xdr:col>
      <xdr:colOff>505886</xdr:colOff>
      <xdr:row>41</xdr:row>
      <xdr:rowOff>29443</xdr:rowOff>
    </xdr:to>
    <xdr:pic>
      <xdr:nvPicPr>
        <xdr:cNvPr id="5" name="Bildobjekt 4" descr="EU:s logotyp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7779" y="7161389"/>
          <a:ext cx="1423107" cy="1384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A9:F15" totalsRowShown="0" headerRowDxfId="51">
  <autoFilter ref="A9:F15" xr:uid="{00000000-0009-0000-0100-000002000000}"/>
  <tableColumns count="6">
    <tableColumn id="1" xr3:uid="{00000000-0010-0000-0000-000001000000}" name="Indata" dataDxfId="50"/>
    <tableColumn id="2" xr3:uid="{00000000-0010-0000-0000-000002000000}" name="grupp 1" dataDxfId="49"/>
    <tableColumn id="3" xr3:uid="{00000000-0010-0000-0000-000003000000}" name="grupp 2"/>
    <tableColumn id="4" xr3:uid="{00000000-0010-0000-0000-000004000000}" name="grupp 3"/>
    <tableColumn id="5" xr3:uid="{00000000-0010-0000-0000-000005000000}" name="grupp 4" dataDxfId="48"/>
    <tableColumn id="6" xr3:uid="{00000000-0010-0000-0000-000006000000}" name="Totalt" dataDxfId="47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9000000}" name="Tabell14" displayName="Tabell14" ref="H43:N65" totalsRowShown="0" dataDxfId="7">
  <autoFilter ref="H43:N65" xr:uid="{00000000-0009-0000-0100-00000E000000}"/>
  <tableColumns count="7">
    <tableColumn id="1" xr3:uid="{00000000-0010-0000-0900-000001000000}" name="Resultat" dataDxfId="6"/>
    <tableColumn id="2" xr3:uid="{00000000-0010-0000-0900-000002000000}" name="." dataDxfId="5"/>
    <tableColumn id="3" xr3:uid="{00000000-0010-0000-0900-000003000000}" name="gr 1" dataDxfId="4"/>
    <tableColumn id="4" xr3:uid="{00000000-0010-0000-0900-000004000000}" name="gr 2" dataDxfId="3"/>
    <tableColumn id="5" xr3:uid="{00000000-0010-0000-0900-000005000000}" name="gr 3" dataDxfId="2"/>
    <tableColumn id="6" xr3:uid="{00000000-0010-0000-0900-000006000000}" name="gr 4" dataDxfId="1"/>
    <tableColumn id="7" xr3:uid="{00000000-0010-0000-0900-000007000000}" name="Riktvärde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l5" displayName="Tabell5" ref="A21:BC35" totalsRowShown="0" headerRowDxfId="46">
  <autoFilter ref="A21:BC35" xr:uid="{00000000-0009-0000-0100-000005000000}"/>
  <tableColumns count="55">
    <tableColumn id="1" xr3:uid="{00000000-0010-0000-0100-000001000000}" name="Fodermedel"/>
    <tableColumn id="2" xr3:uid="{00000000-0010-0000-0100-000002000000}" name="Gr 1"/>
    <tableColumn id="3" xr3:uid="{00000000-0010-0000-0100-000003000000}" name="Gr 2"/>
    <tableColumn id="4" xr3:uid="{00000000-0010-0000-0100-000004000000}" name="Gr 3"/>
    <tableColumn id="5" xr3:uid="{00000000-0010-0000-0100-000005000000}" name="Gr 4"/>
    <tableColumn id="6" xr3:uid="{00000000-0010-0000-0100-000006000000}" name="Ts-halt, %"/>
    <tableColumn id="7" xr3:uid="{00000000-0010-0000-0100-000007000000}" name="Grf %" dataDxfId="45" dataCellStyle="Procent"/>
    <tableColumn id="8" xr3:uid="{00000000-0010-0000-0100-000008000000}" name="Energi, MJ" dataDxfId="44"/>
    <tableColumn id="9" xr3:uid="{00000000-0010-0000-0100-000009000000}" name="AAT, g" dataDxfId="43"/>
    <tableColumn id="10" xr3:uid="{00000000-0010-0000-0100-00000A000000}" name="Råprot, g"/>
    <tableColumn id="11" xr3:uid="{00000000-0010-0000-0100-00000B000000}" name="NDF, g"/>
    <tableColumn id="12" xr3:uid="{00000000-0010-0000-0100-00000C000000}" name="Ca, g" dataDxfId="42"/>
    <tableColumn id="13" xr3:uid="{00000000-0010-0000-0100-00000D000000}" name="P, g" dataDxfId="41"/>
    <tableColumn id="14" xr3:uid="{00000000-0010-0000-0100-00000E000000}" name="Pris, öre"/>
    <tableColumn id="15" xr3:uid="{00000000-0010-0000-0100-00000F000000}" name="köpfoder"/>
    <tableColumn id="17" xr3:uid="{00000000-0010-0000-0100-000011000000}" name="Kgts foder"/>
    <tableColumn id="18" xr3:uid="{00000000-0010-0000-0100-000012000000}" name="Kgts foder2"/>
    <tableColumn id="19" xr3:uid="{00000000-0010-0000-0100-000013000000}" name="Kgts foder3"/>
    <tableColumn id="20" xr3:uid="{00000000-0010-0000-0100-000014000000}" name="Kgts foder4"/>
    <tableColumn id="21" xr3:uid="{00000000-0010-0000-0100-000015000000}" name="kg ts grf"/>
    <tableColumn id="22" xr3:uid="{00000000-0010-0000-0100-000016000000}" name="kg ts grf2"/>
    <tableColumn id="23" xr3:uid="{00000000-0010-0000-0100-000017000000}" name="kg ts grf3"/>
    <tableColumn id="24" xr3:uid="{00000000-0010-0000-0100-000018000000}" name="kg ts grf4"/>
    <tableColumn id="25" xr3:uid="{00000000-0010-0000-0100-000019000000}" name="Energi MJ"/>
    <tableColumn id="26" xr3:uid="{00000000-0010-0000-0100-00001A000000}" name="Energi MJ2"/>
    <tableColumn id="27" xr3:uid="{00000000-0010-0000-0100-00001B000000}" name="Energi MJ3"/>
    <tableColumn id="28" xr3:uid="{00000000-0010-0000-0100-00001C000000}" name="Energi MJ4"/>
    <tableColumn id="29" xr3:uid="{00000000-0010-0000-0100-00001D000000}" name="AAT, g10"/>
    <tableColumn id="30" xr3:uid="{00000000-0010-0000-0100-00001E000000}" name="AAT, g102"/>
    <tableColumn id="31" xr3:uid="{00000000-0010-0000-0100-00001F000000}" name="AAT, g103"/>
    <tableColumn id="32" xr3:uid="{00000000-0010-0000-0100-000020000000}" name="AAT, g104"/>
    <tableColumn id="33" xr3:uid="{00000000-0010-0000-0100-000021000000}" name="Råprot, g14"/>
    <tableColumn id="34" xr3:uid="{00000000-0010-0000-0100-000022000000}" name="Råprot, g142"/>
    <tableColumn id="35" xr3:uid="{00000000-0010-0000-0100-000023000000}" name="Råprot, g143"/>
    <tableColumn id="36" xr3:uid="{00000000-0010-0000-0100-000024000000}" name="Råprot, g144"/>
    <tableColumn id="37" xr3:uid="{00000000-0010-0000-0100-000025000000}" name="NDF, g18"/>
    <tableColumn id="38" xr3:uid="{00000000-0010-0000-0100-000026000000}" name="NDF, g182"/>
    <tableColumn id="39" xr3:uid="{00000000-0010-0000-0100-000027000000}" name="NDF, g183"/>
    <tableColumn id="40" xr3:uid="{00000000-0010-0000-0100-000028000000}" name="NDF, g184"/>
    <tableColumn id="41" xr3:uid="{00000000-0010-0000-0100-000029000000}" name="Ca, g22"/>
    <tableColumn id="42" xr3:uid="{00000000-0010-0000-0100-00002A000000}" name="Ca, g222"/>
    <tableColumn id="43" xr3:uid="{00000000-0010-0000-0100-00002B000000}" name="Ca, g223"/>
    <tableColumn id="44" xr3:uid="{00000000-0010-0000-0100-00002C000000}" name="Ca, g224"/>
    <tableColumn id="45" xr3:uid="{00000000-0010-0000-0100-00002D000000}" name="P, g26"/>
    <tableColumn id="46" xr3:uid="{00000000-0010-0000-0100-00002E000000}" name="P, g262"/>
    <tableColumn id="47" xr3:uid="{00000000-0010-0000-0100-00002F000000}" name="P, g263"/>
    <tableColumn id="48" xr3:uid="{00000000-0010-0000-0100-000030000000}" name="P, g264"/>
    <tableColumn id="49" xr3:uid="{00000000-0010-0000-0100-000031000000}" name="Kostn kr"/>
    <tableColumn id="50" xr3:uid="{00000000-0010-0000-0100-000032000000}" name="Kostn kr2"/>
    <tableColumn id="51" xr3:uid="{00000000-0010-0000-0100-000033000000}" name="Kostn kr3"/>
    <tableColumn id="52" xr3:uid="{00000000-0010-0000-0100-000034000000}" name="Kostn kr4"/>
    <tableColumn id="53" xr3:uid="{00000000-0010-0000-0100-000035000000}" name="InköptRp"/>
    <tableColumn id="54" xr3:uid="{00000000-0010-0000-0100-000036000000}" name="InköptRp2"/>
    <tableColumn id="55" xr3:uid="{00000000-0010-0000-0100-000037000000}" name="InköptRp3"/>
    <tableColumn id="56" xr3:uid="{00000000-0010-0000-0100-000038000000}" name="InköptRp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ell6" displayName="Tabell6" ref="P4:W19" totalsRowShown="0" headerRowDxfId="40" dataDxfId="39">
  <autoFilter ref="P4:W19" xr:uid="{00000000-0009-0000-0100-000006000000}"/>
  <tableColumns count="8">
    <tableColumn id="1" xr3:uid="{00000000-0010-0000-0200-000001000000}" name="Kolumn1" dataDxfId="38"/>
    <tableColumn id="2" xr3:uid="{00000000-0010-0000-0200-000002000000}" name="Antal djur" dataDxfId="37" dataCellStyle="Procent"/>
    <tableColumn id="3" xr3:uid="{00000000-0010-0000-0200-000003000000}" name="Vikt/prod"/>
    <tableColumn id="4" xr3:uid="{00000000-0010-0000-0200-000004000000}" name="Energi MJ" dataDxfId="36"/>
    <tableColumn id="5" xr3:uid="{00000000-0010-0000-0200-000005000000}" name="Råprotein" dataDxfId="35"/>
    <tableColumn id="6" xr3:uid="{00000000-0010-0000-0200-000006000000}" name="AAT g" dataDxfId="34"/>
    <tableColumn id="7" xr3:uid="{00000000-0010-0000-0200-000007000000}" name="Ca g" dataDxfId="33"/>
    <tableColumn id="8" xr3:uid="{00000000-0010-0000-0200-000008000000}" name="P g" dataDxfId="3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ell7" displayName="Tabell7" ref="Y6:AA9" totalsRowShown="0" headerRowDxfId="31" dataDxfId="30">
  <autoFilter ref="Y6:AA9" xr:uid="{00000000-0009-0000-0100-000007000000}"/>
  <tableColumns count="3">
    <tableColumn id="1" xr3:uid="{00000000-0010-0000-0300-000001000000}" name="t" dataDxfId="29">
      <calculatedColumnFormula>((0.522*AA7)/(6.28+0.0188*Z7))/(1+(((0.522*AA7)/(6.28+0.0188*Z7))*0.3))</calculatedColumnFormula>
    </tableColumn>
    <tableColumn id="2" xr3:uid="{00000000-0010-0000-0300-000002000000}" name="v" dataDxfId="28"/>
    <tableColumn id="3" xr3:uid="{00000000-0010-0000-0300-000003000000}" name="e" dataDxfId="27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ell8" displayName="Tabell8" ref="S38:U62" totalsRowShown="0" headerRowDxfId="26" dataDxfId="25">
  <autoFilter ref="S38:U62" xr:uid="{00000000-0009-0000-0100-000008000000}"/>
  <tableColumns count="3">
    <tableColumn id="1" xr3:uid="{00000000-0010-0000-0400-000001000000}" name="vikt" dataDxfId="24"/>
    <tableColumn id="2" xr3:uid="{00000000-0010-0000-0400-000002000000}" name="Rp" dataDxfId="23"/>
    <tableColumn id="3" xr3:uid="{00000000-0010-0000-0400-000003000000}" name="AAT" dataDxfId="2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abell9" displayName="Tabell9" ref="W39:Y45" totalsRowShown="0">
  <autoFilter ref="W39:Y45" xr:uid="{00000000-0009-0000-0100-000009000000}"/>
  <tableColumns count="3">
    <tableColumn id="1" xr3:uid="{00000000-0010-0000-0500-000001000000}" name="Lev vikt" dataDxfId="21"/>
    <tableColumn id="2" xr3:uid="{00000000-0010-0000-0500-000002000000}" name="Ca" dataDxfId="20"/>
    <tableColumn id="3" xr3:uid="{00000000-0010-0000-0500-000003000000}" name="P" dataDxfId="19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ell10" displayName="Tabell10" ref="A43:F58" totalsRowShown="0" dataDxfId="18">
  <autoFilter ref="A43:F58" xr:uid="{00000000-0009-0000-0100-00000A000000}"/>
  <tableColumns count="6">
    <tableColumn id="1" xr3:uid="{00000000-0010-0000-0600-000001000000}" name="Resultat" dataDxfId="17"/>
    <tableColumn id="2" xr3:uid="{00000000-0010-0000-0600-000002000000}" name="gr 1" dataDxfId="16"/>
    <tableColumn id="3" xr3:uid="{00000000-0010-0000-0600-000003000000}" name="gr 2" dataDxfId="15"/>
    <tableColumn id="4" xr3:uid="{00000000-0010-0000-0600-000004000000}" name="gr 3" dataDxfId="14"/>
    <tableColumn id="5" xr3:uid="{00000000-0010-0000-0600-000005000000}" name="gr 4" dataDxfId="13"/>
    <tableColumn id="6" xr3:uid="{00000000-0010-0000-0600-000006000000}" name="Riktvärde" dataDxfId="12" dataCellStyle="Procent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ell12" displayName="Tabell12" ref="A61:F64" totalsRowShown="0">
  <autoFilter ref="A61:F64" xr:uid="{00000000-0009-0000-0100-00000C000000}"/>
  <tableColumns count="6">
    <tableColumn id="1" xr3:uid="{00000000-0010-0000-0700-000001000000}" name="Utfodring % av norm" dataDxfId="11"/>
    <tableColumn id="2" xr3:uid="{00000000-0010-0000-0700-000002000000}" name="Gr 1"/>
    <tableColumn id="3" xr3:uid="{00000000-0010-0000-0700-000003000000}" name="Gr 2"/>
    <tableColumn id="4" xr3:uid="{00000000-0010-0000-0700-000004000000}" name="Gr 3"/>
    <tableColumn id="5" xr3:uid="{00000000-0010-0000-0700-000005000000}" name="Gr4"/>
    <tableColumn id="6" xr3:uid="{00000000-0010-0000-0700-000006000000}" name="Riktvärde" dataDxfId="1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8000000}" name="Tabell13" displayName="Tabell13" ref="A67:E70" totalsRowShown="0" headerRowDxfId="9">
  <autoFilter ref="A67:E70" xr:uid="{00000000-0009-0000-0100-00000D000000}"/>
  <tableColumns count="5">
    <tableColumn id="1" xr3:uid="{00000000-0010-0000-0800-000001000000}" name="Tillväxt enligt dagens utfodring" dataDxfId="8"/>
    <tableColumn id="2" xr3:uid="{00000000-0010-0000-0800-000002000000}" name="Gr 1"/>
    <tableColumn id="3" xr3:uid="{00000000-0010-0000-0800-000003000000}" name="Gr 2"/>
    <tableColumn id="4" xr3:uid="{00000000-0010-0000-0800-000004000000}" name="Gr 3"/>
    <tableColumn id="5" xr3:uid="{00000000-0010-0000-0800-000005000000}" name="Gr 4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Blågrö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13" Type="http://schemas.openxmlformats.org/officeDocument/2006/relationships/table" Target="../tables/table10.xml"/><Relationship Id="rId3" Type="http://schemas.openxmlformats.org/officeDocument/2006/relationships/vmlDrawing" Target="../drawings/vmlDrawing4.vml"/><Relationship Id="rId7" Type="http://schemas.openxmlformats.org/officeDocument/2006/relationships/table" Target="../tables/table4.xml"/><Relationship Id="rId12" Type="http://schemas.openxmlformats.org/officeDocument/2006/relationships/table" Target="../tables/table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3.xml"/><Relationship Id="rId11" Type="http://schemas.openxmlformats.org/officeDocument/2006/relationships/table" Target="../tables/table8.xml"/><Relationship Id="rId5" Type="http://schemas.openxmlformats.org/officeDocument/2006/relationships/table" Target="../tables/table2.xml"/><Relationship Id="rId10" Type="http://schemas.openxmlformats.org/officeDocument/2006/relationships/table" Target="../tables/table7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Relationship Id="rId1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N85"/>
  <sheetViews>
    <sheetView zoomScale="80" zoomScaleNormal="80" workbookViewId="0">
      <selection activeCell="F5" sqref="F5:H5"/>
    </sheetView>
  </sheetViews>
  <sheetFormatPr defaultColWidth="9.28515625" defaultRowHeight="15" x14ac:dyDescent="0.2"/>
  <cols>
    <col min="1" max="1" width="30.7109375" style="1" customWidth="1"/>
    <col min="2" max="4" width="9.42578125" style="2" customWidth="1"/>
    <col min="5" max="5" width="12.7109375" style="2" customWidth="1"/>
    <col min="6" max="6" width="8.7109375" style="1" customWidth="1"/>
    <col min="7" max="7" width="5.7109375" style="1" customWidth="1"/>
    <col min="8" max="8" width="8.5703125" style="1" customWidth="1"/>
    <col min="9" max="9" width="6.28515625" style="1" customWidth="1"/>
    <col min="10" max="10" width="7.7109375" style="1" customWidth="1"/>
    <col min="11" max="12" width="9.28515625" style="1" customWidth="1"/>
    <col min="13" max="13" width="9.42578125" style="1" customWidth="1"/>
    <col min="14" max="14" width="9.28515625" style="1" customWidth="1"/>
    <col min="15" max="15" width="7.42578125" style="1" customWidth="1"/>
    <col min="16" max="16" width="5" style="1" customWidth="1"/>
    <col min="17" max="17" width="9.5703125" style="11" bestFit="1" customWidth="1"/>
    <col min="18" max="18" width="8.42578125" style="11" customWidth="1"/>
    <col min="19" max="19" width="8.42578125" style="1" customWidth="1"/>
    <col min="20" max="20" width="13" style="1" customWidth="1"/>
    <col min="21" max="21" width="12.5703125" style="1" bestFit="1" customWidth="1"/>
    <col min="22" max="22" width="10" style="1" bestFit="1" customWidth="1"/>
    <col min="23" max="24" width="8.5703125" style="1" bestFit="1" customWidth="1"/>
    <col min="25" max="25" width="10" style="1" bestFit="1" customWidth="1"/>
    <col min="26" max="26" width="8" style="1" customWidth="1"/>
    <col min="27" max="27" width="7.7109375" style="1" customWidth="1"/>
    <col min="28" max="29" width="6.5703125" style="1" customWidth="1"/>
    <col min="30" max="38" width="9.28515625" style="1" customWidth="1"/>
    <col min="39" max="40" width="9.7109375" style="1" bestFit="1" customWidth="1"/>
    <col min="41" max="48" width="9.28515625" style="1" bestFit="1" customWidth="1"/>
    <col min="49" max="49" width="9.7109375" style="1" bestFit="1" customWidth="1"/>
    <col min="50" max="54" width="9.28515625" style="1" bestFit="1" customWidth="1"/>
    <col min="55" max="16384" width="9.28515625" style="1"/>
  </cols>
  <sheetData>
    <row r="2" spans="1:31" ht="28.5" x14ac:dyDescent="0.4">
      <c r="A2" s="10" t="s">
        <v>0</v>
      </c>
      <c r="L2" s="96" t="s">
        <v>1</v>
      </c>
      <c r="M2" s="77"/>
      <c r="N2" s="77"/>
      <c r="Q2" s="210" t="s">
        <v>2</v>
      </c>
      <c r="R2" s="50"/>
      <c r="S2" s="21"/>
      <c r="T2" s="164" t="s">
        <v>3</v>
      </c>
      <c r="U2" s="2"/>
      <c r="V2" s="2"/>
      <c r="W2" s="2"/>
      <c r="X2" s="2"/>
      <c r="AC2" s="4"/>
      <c r="AD2" s="4"/>
      <c r="AE2" s="4"/>
    </row>
    <row r="3" spans="1:31" ht="15.75" x14ac:dyDescent="0.25">
      <c r="G3" s="12"/>
      <c r="H3" s="12"/>
      <c r="L3" s="34" t="s">
        <v>4</v>
      </c>
      <c r="N3" s="2"/>
      <c r="Q3" s="2"/>
      <c r="R3" s="21" t="s">
        <v>5</v>
      </c>
      <c r="S3" s="21" t="s">
        <v>6</v>
      </c>
      <c r="T3" s="21" t="s">
        <v>7</v>
      </c>
      <c r="U3" s="2" t="s">
        <v>8</v>
      </c>
      <c r="V3" s="21" t="s">
        <v>9</v>
      </c>
      <c r="W3" s="21" t="s">
        <v>10</v>
      </c>
      <c r="X3" s="21" t="s">
        <v>11</v>
      </c>
      <c r="AC3" s="4"/>
      <c r="AD3" s="4"/>
      <c r="AE3" s="4"/>
    </row>
    <row r="4" spans="1:31" ht="15.75" x14ac:dyDescent="0.25">
      <c r="A4" s="1" t="s">
        <v>12</v>
      </c>
      <c r="B4" s="165">
        <v>8</v>
      </c>
      <c r="C4" s="1"/>
      <c r="D4" s="1" t="s">
        <v>13</v>
      </c>
      <c r="E4" s="1"/>
      <c r="F4" s="261">
        <v>38625</v>
      </c>
      <c r="G4" s="262"/>
      <c r="H4" s="12"/>
      <c r="I4" s="16"/>
      <c r="L4" s="33" t="s">
        <v>14</v>
      </c>
      <c r="N4" s="16"/>
      <c r="O4" s="2"/>
      <c r="P4" s="2"/>
      <c r="Q4" s="159" t="s">
        <v>15</v>
      </c>
      <c r="R4" s="92"/>
      <c r="S4" s="160"/>
      <c r="T4" s="94">
        <f>R5*T5+R6*T6+R7*T7+R8*T8</f>
        <v>576.54857350186046</v>
      </c>
      <c r="U4" s="92"/>
      <c r="V4" s="92"/>
      <c r="W4" s="92"/>
      <c r="X4" s="92"/>
      <c r="AC4" s="4"/>
      <c r="AD4" s="4"/>
      <c r="AE4" s="4"/>
    </row>
    <row r="5" spans="1:31" x14ac:dyDescent="0.2">
      <c r="A5" s="1" t="s">
        <v>16</v>
      </c>
      <c r="B5" s="165"/>
      <c r="C5" s="14"/>
      <c r="D5" s="1" t="s">
        <v>17</v>
      </c>
      <c r="E5" s="1"/>
      <c r="F5" s="264"/>
      <c r="G5" s="264"/>
      <c r="H5" s="262"/>
      <c r="I5" s="16"/>
      <c r="L5" s="35" t="s">
        <v>18</v>
      </c>
      <c r="N5" s="17"/>
      <c r="O5" s="2"/>
      <c r="P5" s="2"/>
      <c r="Q5" s="92" t="s">
        <v>19</v>
      </c>
      <c r="R5" s="160">
        <f>$B$10</f>
        <v>5</v>
      </c>
      <c r="S5" s="161">
        <f>$B$11</f>
        <v>350</v>
      </c>
      <c r="T5" s="57">
        <f>($S5^0.75)*0.475</f>
        <v>38.436571566790697</v>
      </c>
      <c r="U5" s="57"/>
      <c r="V5" s="57"/>
      <c r="W5" s="58"/>
      <c r="X5" s="60"/>
      <c r="AC5" s="4"/>
      <c r="AD5" s="4"/>
      <c r="AE5" s="4"/>
    </row>
    <row r="6" spans="1:31" x14ac:dyDescent="0.2">
      <c r="G6" s="12"/>
      <c r="H6" s="12"/>
      <c r="I6" s="16"/>
      <c r="L6" s="35"/>
      <c r="N6" s="18"/>
      <c r="O6" s="2"/>
      <c r="P6" s="2"/>
      <c r="Q6" s="162" t="s">
        <v>20</v>
      </c>
      <c r="R6" s="160">
        <f>$C$10</f>
        <v>5</v>
      </c>
      <c r="S6" s="160">
        <f>$C$11</f>
        <v>350</v>
      </c>
      <c r="T6" s="57">
        <f>($S6^0.75)*0.475</f>
        <v>38.436571566790697</v>
      </c>
      <c r="U6" s="57"/>
      <c r="V6" s="59"/>
      <c r="W6" s="58"/>
      <c r="X6" s="59"/>
      <c r="Y6" s="2"/>
      <c r="Z6" s="2" t="s">
        <v>21</v>
      </c>
      <c r="AA6" s="2" t="s">
        <v>22</v>
      </c>
      <c r="AB6" s="2" t="s">
        <v>23</v>
      </c>
      <c r="AC6" s="4"/>
      <c r="AD6" s="4"/>
      <c r="AE6" s="4"/>
    </row>
    <row r="7" spans="1:31" x14ac:dyDescent="0.2">
      <c r="B7" s="95"/>
      <c r="C7" s="28"/>
      <c r="F7" s="12"/>
      <c r="G7" s="12"/>
      <c r="H7" s="12"/>
      <c r="I7" s="16"/>
      <c r="M7" s="18"/>
      <c r="N7" s="18"/>
      <c r="O7" s="18"/>
      <c r="Q7" s="92" t="s">
        <v>24</v>
      </c>
      <c r="R7" s="59">
        <f>$D$10</f>
        <v>5</v>
      </c>
      <c r="S7" s="161">
        <f>$D$11</f>
        <v>350</v>
      </c>
      <c r="T7" s="57">
        <f>($S7^0.75)*0.475</f>
        <v>38.436571566790697</v>
      </c>
      <c r="U7" s="92"/>
      <c r="V7" s="59"/>
      <c r="W7" s="71"/>
      <c r="X7" s="93"/>
      <c r="Y7" s="2"/>
      <c r="Z7" s="140">
        <f>((0.522*AB7)/(6.28+0.0188*AA7))/(1+(((0.522*AB7)/(6.28+0.0188*AA7))*0.3))</f>
        <v>1.2007830113054905</v>
      </c>
      <c r="AA7" s="2">
        <v>200</v>
      </c>
      <c r="AB7" s="2">
        <v>36.1</v>
      </c>
      <c r="AC7" s="4"/>
      <c r="AD7" s="4"/>
      <c r="AE7" s="4"/>
    </row>
    <row r="8" spans="1:31" ht="18.75" x14ac:dyDescent="0.3">
      <c r="A8" s="90"/>
      <c r="B8" s="209"/>
      <c r="C8" s="265"/>
      <c r="D8" s="266"/>
      <c r="E8" s="265"/>
      <c r="F8" s="267"/>
      <c r="G8" s="12"/>
      <c r="I8" s="16"/>
      <c r="J8" s="52"/>
      <c r="K8" s="12"/>
      <c r="L8" s="36"/>
      <c r="M8" s="209"/>
      <c r="N8" s="12"/>
      <c r="O8" s="12"/>
      <c r="Q8" s="162" t="s">
        <v>25</v>
      </c>
      <c r="R8" s="160">
        <f>$E$10</f>
        <v>0</v>
      </c>
      <c r="S8" s="163">
        <f>$E$11</f>
        <v>380</v>
      </c>
      <c r="T8" s="57">
        <f>($S8^0.75)*0.475</f>
        <v>40.881922169537432</v>
      </c>
      <c r="U8" s="57"/>
      <c r="V8" s="57"/>
      <c r="W8" s="58"/>
      <c r="X8" s="59"/>
      <c r="Y8" s="2"/>
      <c r="Z8" s="140">
        <f>((0.522*AB8)/(6.28+0.0188*AA8))/(1+(((0.522*AB8)/(6.28+0.0188*AA8))*0.3))</f>
        <v>1.2001242104969816</v>
      </c>
      <c r="AA8" s="2">
        <v>350</v>
      </c>
      <c r="AB8" s="1">
        <v>46.2</v>
      </c>
      <c r="AC8" s="4"/>
      <c r="AD8" s="4"/>
      <c r="AE8" s="4"/>
    </row>
    <row r="9" spans="1:31" ht="18.75" x14ac:dyDescent="0.3">
      <c r="A9" s="38"/>
      <c r="B9" s="97" t="s">
        <v>26</v>
      </c>
      <c r="C9" s="97" t="s">
        <v>27</v>
      </c>
      <c r="D9" s="97" t="s">
        <v>28</v>
      </c>
      <c r="E9" s="97" t="s">
        <v>29</v>
      </c>
      <c r="F9" s="97" t="s">
        <v>30</v>
      </c>
      <c r="H9" s="12"/>
      <c r="I9" s="16"/>
      <c r="J9" s="53"/>
      <c r="K9" s="12"/>
      <c r="L9" s="209"/>
      <c r="M9" s="209"/>
      <c r="N9" s="12"/>
      <c r="O9" s="12"/>
      <c r="Q9" s="159" t="s">
        <v>31</v>
      </c>
      <c r="R9" s="160"/>
      <c r="S9" s="160"/>
      <c r="T9" s="94">
        <f>$R$10*T10+$R$11*T11+$R$12*T12+$R$13*T13</f>
        <v>1007.8369905956113</v>
      </c>
      <c r="U9" s="94">
        <f>$R$10*U10+$R$11*U11+$R$12*U12+$R$13*U13</f>
        <v>17586.679761481937</v>
      </c>
      <c r="V9" s="94">
        <f>$R$10*V10+$R$11*V11+$R$12*V12+$R$13*V13</f>
        <v>10298.506166633568</v>
      </c>
      <c r="W9" s="94">
        <f>$R$10*W10+$R$11*W11+$R$12*W12+$R$13*W13</f>
        <v>495</v>
      </c>
      <c r="X9" s="94">
        <f>$R$10*X10+$R$11*X11+$R$12*X12+$R$13*X13</f>
        <v>300</v>
      </c>
      <c r="Y9" s="2"/>
      <c r="Z9" s="140">
        <f>((0.522*AB9)/(6.28+0.0188*AA9))/(1+(((0.522*AB9)/(6.28+0.0188*AA9))*0.3))</f>
        <v>1.0002400475041375</v>
      </c>
      <c r="AA9" s="2">
        <v>550</v>
      </c>
      <c r="AB9" s="1">
        <v>45.5</v>
      </c>
      <c r="AC9" s="4"/>
      <c r="AD9" s="4"/>
      <c r="AE9" s="4"/>
    </row>
    <row r="10" spans="1:31" ht="15.75" x14ac:dyDescent="0.25">
      <c r="A10" s="98" t="s">
        <v>5</v>
      </c>
      <c r="B10" s="76">
        <v>5</v>
      </c>
      <c r="C10" s="76">
        <v>5</v>
      </c>
      <c r="D10" s="76">
        <v>5</v>
      </c>
      <c r="E10" s="76">
        <v>0</v>
      </c>
      <c r="F10" s="99">
        <f>SUM(B10:E10)</f>
        <v>15</v>
      </c>
      <c r="H10" s="83"/>
      <c r="O10" s="12"/>
      <c r="Q10" s="92" t="s">
        <v>19</v>
      </c>
      <c r="R10" s="160">
        <f>$B$10</f>
        <v>5</v>
      </c>
      <c r="S10" s="161">
        <f>$B$11</f>
        <v>350</v>
      </c>
      <c r="T10" s="58">
        <f>(B12*(6.28+0.0188*S10))/((1-0.3*B12)*0.522)</f>
        <v>67.189132706374082</v>
      </c>
      <c r="U10" s="57">
        <f>LOOKUP($S10,$T$39:$T$62,$U$39:$U$62)*(T10+T5)</f>
        <v>1172.4453174321291</v>
      </c>
      <c r="V10" s="57">
        <f>LOOKUP($S10,$T$39:$T$62,$V$39:$V$62)*(T10+T5)</f>
        <v>686.56707777557108</v>
      </c>
      <c r="W10" s="57">
        <f>LOOKUP($S10,$X$40:$X$45,Y40:Y45)</f>
        <v>33</v>
      </c>
      <c r="X10" s="57">
        <f>LOOKUP($S10,$X$40:$X$45,Z40:Z45)</f>
        <v>20</v>
      </c>
      <c r="Y10" s="2"/>
      <c r="Z10" s="2"/>
      <c r="AA10" s="2"/>
      <c r="AC10" s="4"/>
      <c r="AD10" s="4"/>
      <c r="AE10" s="4"/>
    </row>
    <row r="11" spans="1:31" ht="15.75" x14ac:dyDescent="0.25">
      <c r="A11" s="98" t="s">
        <v>32</v>
      </c>
      <c r="B11" s="76">
        <v>350</v>
      </c>
      <c r="C11" s="76">
        <v>350</v>
      </c>
      <c r="D11" s="76">
        <v>350</v>
      </c>
      <c r="E11" s="76">
        <v>380</v>
      </c>
      <c r="F11" s="100">
        <f>(B10*B11+C11*C10+D11*D10+E10*E11)/(B10+C10+D10+E10)</f>
        <v>350</v>
      </c>
      <c r="H11" s="12"/>
      <c r="O11" s="12"/>
      <c r="Q11" s="162" t="s">
        <v>20</v>
      </c>
      <c r="R11" s="160">
        <f>$C$10</f>
        <v>5</v>
      </c>
      <c r="S11" s="160">
        <f>$C$11</f>
        <v>350</v>
      </c>
      <c r="T11" s="58">
        <f>(C12*(6.28+0.0188*S11))/((1-0.3*C12)*0.522)</f>
        <v>67.189132706374082</v>
      </c>
      <c r="U11" s="57">
        <f>LOOKUP($S11,$T$39:$T$62,$U$39:$U$62)*(T11+T6)</f>
        <v>1172.4453174321291</v>
      </c>
      <c r="V11" s="57">
        <f>LOOKUP($S11,$T$39:$T$62,$V$39:$V$62)*(T11+T6)</f>
        <v>686.56707777557108</v>
      </c>
      <c r="W11" s="57">
        <f>LOOKUP($S11,$X$40:$X$45,Y40:Y45)</f>
        <v>33</v>
      </c>
      <c r="X11" s="57">
        <f>LOOKUP($S11,$X$40:$X$45,Z40:Z45)</f>
        <v>20</v>
      </c>
      <c r="Y11" s="2"/>
      <c r="Z11" s="2"/>
      <c r="AA11" s="2"/>
      <c r="AC11" s="4"/>
      <c r="AD11" s="4"/>
      <c r="AE11" s="4"/>
    </row>
    <row r="12" spans="1:31" ht="15.75" x14ac:dyDescent="0.25">
      <c r="A12" s="101" t="s">
        <v>33</v>
      </c>
      <c r="B12" s="76">
        <v>1.5</v>
      </c>
      <c r="C12" s="102">
        <v>1.5</v>
      </c>
      <c r="D12" s="102">
        <v>1.5</v>
      </c>
      <c r="E12" s="76">
        <v>1.2</v>
      </c>
      <c r="G12" s="103"/>
      <c r="H12" s="54"/>
      <c r="I12" s="55"/>
      <c r="J12" s="15"/>
      <c r="K12" s="12"/>
      <c r="L12" s="209"/>
      <c r="M12" s="15"/>
      <c r="N12" s="15"/>
      <c r="O12" s="12"/>
      <c r="Q12" s="162" t="s">
        <v>34</v>
      </c>
      <c r="R12" s="59">
        <f>$D$10</f>
        <v>5</v>
      </c>
      <c r="S12" s="161">
        <f>$D$11</f>
        <v>350</v>
      </c>
      <c r="T12" s="58">
        <f>(D12*(6.28+0.0188*S12))/((1-0.3*D12)*0.522)</f>
        <v>67.189132706374082</v>
      </c>
      <c r="U12" s="57">
        <f>LOOKUP($S12,$T$39:$T$62,$U$39:$U$62)*(T12+T7)</f>
        <v>1172.4453174321291</v>
      </c>
      <c r="V12" s="57">
        <f>LOOKUP($S12,$T$39:$T$62,$V$39:$V$62)*(T12+T7)</f>
        <v>686.56707777557108</v>
      </c>
      <c r="W12" s="57">
        <f>LOOKUP($S12,$X$40:$X$45,Y40:Y45)</f>
        <v>33</v>
      </c>
      <c r="X12" s="57">
        <f>LOOKUP($S12,$X$40:$X$45,Z40:Z45)</f>
        <v>20</v>
      </c>
      <c r="Y12" s="2"/>
      <c r="Z12" s="2"/>
      <c r="AA12" s="2"/>
      <c r="AC12" s="4"/>
      <c r="AD12" s="4"/>
      <c r="AE12" s="4"/>
    </row>
    <row r="13" spans="1:31" ht="15.75" x14ac:dyDescent="0.25">
      <c r="A13" s="104" t="s">
        <v>35</v>
      </c>
      <c r="B13" s="76">
        <v>650</v>
      </c>
      <c r="C13" s="102">
        <v>650</v>
      </c>
      <c r="D13" s="102">
        <v>650</v>
      </c>
      <c r="E13" s="76">
        <v>600</v>
      </c>
      <c r="I13" s="84"/>
      <c r="J13" s="50"/>
      <c r="K13" s="50"/>
      <c r="L13" s="50"/>
      <c r="M13" s="50"/>
      <c r="N13" s="18"/>
      <c r="O13" s="19"/>
      <c r="Q13" s="162" t="s">
        <v>25</v>
      </c>
      <c r="R13" s="160">
        <f>$E$10</f>
        <v>0</v>
      </c>
      <c r="S13" s="163">
        <f>$E$11</f>
        <v>380</v>
      </c>
      <c r="T13" s="58">
        <f>(E12*(6.28+0.0188*S13))/((1-0.3*E12)*0.522)</f>
        <v>48.218390804597689</v>
      </c>
      <c r="U13" s="57">
        <f>LOOKUP($S13,$T$39:$T$62,$U$39:$U$62)*(T13+T8)</f>
        <v>962.28338012065933</v>
      </c>
      <c r="V13" s="57">
        <f>LOOKUP($S13,$T$39:$T$62,$V$39:$V$62)*(T13+T8)</f>
        <v>579.15203433187833</v>
      </c>
      <c r="W13" s="57">
        <f>LOOKUP($S13,$X$40:$X$45,Y40:Y45)</f>
        <v>33</v>
      </c>
      <c r="X13" s="57">
        <f>LOOKUP($S13,$X$40:$X$45,Z40:Z45)</f>
        <v>20</v>
      </c>
      <c r="Y13" s="2"/>
      <c r="Z13" s="2"/>
      <c r="AA13" s="2"/>
      <c r="AC13" s="4"/>
      <c r="AD13" s="4"/>
      <c r="AE13" s="4"/>
    </row>
    <row r="14" spans="1:31" ht="15.75" x14ac:dyDescent="0.25">
      <c r="A14" s="212" t="s">
        <v>36</v>
      </c>
      <c r="B14" s="51">
        <f>(B13-B11)/B12</f>
        <v>200</v>
      </c>
      <c r="C14" s="51">
        <f>(C13-C11)/C12</f>
        <v>200</v>
      </c>
      <c r="D14" s="51">
        <f>(D13-D11)/D12</f>
        <v>200</v>
      </c>
      <c r="E14" s="51">
        <f>(E13-E11)/E12</f>
        <v>183.33333333333334</v>
      </c>
      <c r="I14" s="88"/>
      <c r="J14" s="86"/>
      <c r="K14" s="86"/>
      <c r="L14" s="89"/>
      <c r="M14" s="89"/>
      <c r="N14" s="87"/>
      <c r="O14" s="19"/>
      <c r="Q14" s="159" t="s">
        <v>37</v>
      </c>
      <c r="R14" s="160"/>
      <c r="S14" s="160"/>
      <c r="T14" s="61">
        <f t="shared" ref="T14:V15" si="0">T4+T9</f>
        <v>1584.3855640974716</v>
      </c>
      <c r="U14" s="61">
        <f t="shared" si="0"/>
        <v>17586.679761481937</v>
      </c>
      <c r="V14" s="61">
        <f t="shared" si="0"/>
        <v>10298.506166633568</v>
      </c>
      <c r="W14" s="61">
        <f>W13+W11+W9+W6+W7</f>
        <v>561</v>
      </c>
      <c r="X14" s="62">
        <f>X13+X9</f>
        <v>320</v>
      </c>
      <c r="Y14" s="2"/>
      <c r="Z14" s="2"/>
      <c r="AA14" s="2"/>
      <c r="AC14" s="4"/>
      <c r="AD14" s="4"/>
      <c r="AE14" s="4"/>
    </row>
    <row r="15" spans="1:31" ht="15.75" x14ac:dyDescent="0.25">
      <c r="A15" s="104" t="s">
        <v>38</v>
      </c>
      <c r="B15" s="157">
        <f>$F$4+B14</f>
        <v>38825</v>
      </c>
      <c r="C15" s="157">
        <f>$F$4+C14</f>
        <v>38825</v>
      </c>
      <c r="D15" s="157">
        <f>$F$4+D14</f>
        <v>38825</v>
      </c>
      <c r="E15" s="157">
        <f>$F$4+E14</f>
        <v>38808.333333333336</v>
      </c>
      <c r="H15" s="54"/>
      <c r="I15" s="15"/>
      <c r="J15" s="15"/>
      <c r="K15" s="15"/>
      <c r="L15" s="15"/>
      <c r="M15" s="15"/>
      <c r="N15" s="15"/>
      <c r="O15" s="19"/>
      <c r="Q15" s="92" t="s">
        <v>19</v>
      </c>
      <c r="R15" s="160">
        <f>$B$10</f>
        <v>5</v>
      </c>
      <c r="S15" s="161">
        <f>$B$11</f>
        <v>350</v>
      </c>
      <c r="T15" s="57">
        <f t="shared" si="0"/>
        <v>105.62570427316479</v>
      </c>
      <c r="U15" s="57">
        <f t="shared" si="0"/>
        <v>1172.4453174321291</v>
      </c>
      <c r="V15" s="57">
        <f t="shared" si="0"/>
        <v>686.56707777557108</v>
      </c>
      <c r="W15" s="57">
        <f>W5+W10</f>
        <v>33</v>
      </c>
      <c r="X15" s="57">
        <f>X5+X10</f>
        <v>20</v>
      </c>
      <c r="Y15" s="2"/>
      <c r="Z15" s="2"/>
      <c r="AA15" s="2"/>
      <c r="AC15" s="4"/>
      <c r="AD15" s="4"/>
      <c r="AE15" s="4"/>
    </row>
    <row r="16" spans="1:31" ht="15.75" x14ac:dyDescent="0.25">
      <c r="A16" s="105"/>
      <c r="B16" s="106"/>
      <c r="C16" s="106"/>
      <c r="D16" s="106"/>
      <c r="E16" s="106"/>
      <c r="H16" s="19"/>
      <c r="O16" s="19"/>
      <c r="Q16" s="162" t="s">
        <v>20</v>
      </c>
      <c r="R16" s="160">
        <f>$C$10</f>
        <v>5</v>
      </c>
      <c r="S16" s="160">
        <f>$C$11</f>
        <v>350</v>
      </c>
      <c r="T16" s="57">
        <f t="shared" ref="T16:W18" si="1">T6+T11</f>
        <v>105.62570427316479</v>
      </c>
      <c r="U16" s="57">
        <f t="shared" si="1"/>
        <v>1172.4453174321291</v>
      </c>
      <c r="V16" s="57">
        <f t="shared" si="1"/>
        <v>686.56707777557108</v>
      </c>
      <c r="W16" s="57">
        <f t="shared" si="1"/>
        <v>33</v>
      </c>
      <c r="X16" s="57">
        <f>X6+X11</f>
        <v>20</v>
      </c>
      <c r="Y16" s="2"/>
      <c r="Z16" s="2"/>
      <c r="AA16" s="2"/>
      <c r="AC16" s="4"/>
      <c r="AD16" s="4"/>
      <c r="AE16" s="4"/>
    </row>
    <row r="17" spans="1:66" x14ac:dyDescent="0.2">
      <c r="A17" s="85"/>
      <c r="B17" s="86"/>
      <c r="C17" s="86"/>
      <c r="D17" s="86"/>
      <c r="E17" s="86"/>
      <c r="G17" s="2"/>
      <c r="H17" s="19"/>
      <c r="O17" s="19"/>
      <c r="Q17" s="162" t="s">
        <v>34</v>
      </c>
      <c r="R17" s="59">
        <f>$D$10</f>
        <v>5</v>
      </c>
      <c r="S17" s="161">
        <f>$D$11</f>
        <v>350</v>
      </c>
      <c r="T17" s="57">
        <f t="shared" si="1"/>
        <v>105.62570427316479</v>
      </c>
      <c r="U17" s="57">
        <f t="shared" si="1"/>
        <v>1172.4453174321291</v>
      </c>
      <c r="V17" s="57">
        <f t="shared" si="1"/>
        <v>686.56707777557108</v>
      </c>
      <c r="W17" s="57">
        <f t="shared" si="1"/>
        <v>33</v>
      </c>
      <c r="X17" s="57">
        <f>X7+X12</f>
        <v>20</v>
      </c>
      <c r="Y17" s="2"/>
      <c r="Z17" s="2"/>
      <c r="AA17" s="2"/>
      <c r="AC17" s="4"/>
      <c r="AD17" s="4"/>
      <c r="AE17" s="4"/>
    </row>
    <row r="18" spans="1:66" x14ac:dyDescent="0.2">
      <c r="A18" s="85"/>
      <c r="B18" s="86"/>
      <c r="C18" s="86"/>
      <c r="D18" s="86"/>
      <c r="E18" s="86"/>
      <c r="G18" s="2"/>
      <c r="H18" s="19"/>
      <c r="O18" s="19"/>
      <c r="Q18" s="162" t="s">
        <v>25</v>
      </c>
      <c r="R18" s="160">
        <f>$E$10</f>
        <v>0</v>
      </c>
      <c r="S18" s="163">
        <f>$E$11</f>
        <v>380</v>
      </c>
      <c r="T18" s="57">
        <f t="shared" si="1"/>
        <v>89.100312974135122</v>
      </c>
      <c r="U18" s="57">
        <f t="shared" si="1"/>
        <v>962.28338012065933</v>
      </c>
      <c r="V18" s="57">
        <f t="shared" si="1"/>
        <v>579.15203433187833</v>
      </c>
      <c r="W18" s="57">
        <f t="shared" si="1"/>
        <v>33</v>
      </c>
      <c r="X18" s="57">
        <f>X8+X13</f>
        <v>20</v>
      </c>
      <c r="Y18" s="2"/>
      <c r="Z18" s="2"/>
      <c r="AA18" s="2"/>
      <c r="AC18" s="4"/>
      <c r="AD18" s="4"/>
      <c r="AE18" s="4"/>
    </row>
    <row r="19" spans="1:66" ht="18" x14ac:dyDescent="0.25">
      <c r="G19" s="2"/>
      <c r="H19" s="19"/>
      <c r="I19" s="20"/>
      <c r="J19" s="37"/>
      <c r="K19" s="19"/>
      <c r="L19" s="19"/>
      <c r="M19" s="19"/>
      <c r="N19" s="19"/>
      <c r="O19" s="19"/>
      <c r="P19" s="56"/>
      <c r="Q19" s="211"/>
      <c r="R19" s="21"/>
      <c r="S19" s="2"/>
      <c r="T19" s="2"/>
      <c r="U19" s="2"/>
      <c r="V19" s="2"/>
      <c r="W19" s="2"/>
      <c r="X19" s="2"/>
      <c r="Y19" s="2"/>
      <c r="Z19" s="2"/>
      <c r="AA19" s="2"/>
      <c r="AC19" s="4"/>
      <c r="AD19" s="4"/>
      <c r="AE19" s="4"/>
    </row>
    <row r="20" spans="1:66" x14ac:dyDescent="0.2">
      <c r="B20" s="268" t="s">
        <v>39</v>
      </c>
      <c r="C20" s="268"/>
      <c r="D20" s="268"/>
      <c r="E20" s="268"/>
      <c r="F20" s="2"/>
      <c r="G20" s="269" t="s">
        <v>40</v>
      </c>
      <c r="H20" s="269"/>
      <c r="I20" s="269"/>
      <c r="J20" s="269"/>
      <c r="K20" s="269"/>
      <c r="L20" s="269"/>
      <c r="M20" s="269"/>
      <c r="N20" s="19"/>
      <c r="O20" s="19"/>
      <c r="P20" s="19"/>
      <c r="Q20" s="19"/>
      <c r="R20" s="19"/>
      <c r="S20" s="19"/>
      <c r="T20" s="19"/>
      <c r="U20" s="11"/>
      <c r="V20" s="11"/>
      <c r="W20" s="11"/>
      <c r="X20" s="11"/>
      <c r="Y20" s="91" t="s">
        <v>41</v>
      </c>
      <c r="Z20" s="211"/>
      <c r="AA20" s="19"/>
      <c r="AB20" s="19"/>
      <c r="AC20" s="2"/>
      <c r="AD20" s="2"/>
      <c r="AE20" s="2"/>
      <c r="AF20" s="2"/>
      <c r="AG20" s="2"/>
      <c r="AH20" s="2"/>
      <c r="AI20" s="2"/>
      <c r="AJ20" s="2"/>
      <c r="AK20" s="2"/>
      <c r="AM20" s="4"/>
      <c r="AN20" s="4"/>
      <c r="AO20" s="4"/>
    </row>
    <row r="21" spans="1:66" s="4" customFormat="1" ht="15.75" x14ac:dyDescent="0.25">
      <c r="A21" s="108" t="s">
        <v>42</v>
      </c>
      <c r="B21" s="109">
        <v>1</v>
      </c>
      <c r="C21" s="109">
        <v>2</v>
      </c>
      <c r="D21" s="109">
        <v>3</v>
      </c>
      <c r="E21" s="109">
        <v>4</v>
      </c>
      <c r="F21" s="67" t="s">
        <v>43</v>
      </c>
      <c r="G21" s="67" t="s">
        <v>44</v>
      </c>
      <c r="H21" s="67" t="s">
        <v>45</v>
      </c>
      <c r="I21" s="67" t="s">
        <v>46</v>
      </c>
      <c r="J21" s="67" t="s">
        <v>47</v>
      </c>
      <c r="K21" s="67" t="s">
        <v>48</v>
      </c>
      <c r="L21" s="67" t="s">
        <v>49</v>
      </c>
      <c r="M21" s="67" t="s">
        <v>50</v>
      </c>
      <c r="N21" s="67" t="s">
        <v>51</v>
      </c>
      <c r="O21" s="74" t="s">
        <v>52</v>
      </c>
      <c r="P21" s="74" t="s">
        <v>53</v>
      </c>
      <c r="Q21" s="263" t="s">
        <v>54</v>
      </c>
      <c r="R21" s="263"/>
      <c r="S21" s="263"/>
      <c r="T21" s="263"/>
      <c r="U21" s="258" t="s">
        <v>55</v>
      </c>
      <c r="V21" s="259"/>
      <c r="W21" s="259"/>
      <c r="X21" s="260"/>
      <c r="Y21" s="258" t="s">
        <v>7</v>
      </c>
      <c r="Z21" s="259"/>
      <c r="AA21" s="259"/>
      <c r="AB21" s="260"/>
      <c r="AC21" s="258" t="s">
        <v>46</v>
      </c>
      <c r="AD21" s="259"/>
      <c r="AE21" s="259"/>
      <c r="AF21" s="260"/>
      <c r="AG21" s="258" t="s">
        <v>47</v>
      </c>
      <c r="AH21" s="259"/>
      <c r="AI21" s="259"/>
      <c r="AJ21" s="259"/>
      <c r="AK21" s="258" t="s">
        <v>48</v>
      </c>
      <c r="AL21" s="259"/>
      <c r="AM21" s="259"/>
      <c r="AN21" s="259"/>
      <c r="AO21" s="258" t="s">
        <v>49</v>
      </c>
      <c r="AP21" s="259"/>
      <c r="AQ21" s="259"/>
      <c r="AR21" s="259"/>
      <c r="AS21" s="258" t="s">
        <v>50</v>
      </c>
      <c r="AT21" s="259"/>
      <c r="AU21" s="259"/>
      <c r="AV21" s="259"/>
      <c r="AW21" s="73" t="s">
        <v>56</v>
      </c>
      <c r="AX21" s="73"/>
      <c r="AY21" s="73"/>
      <c r="AZ21" s="73"/>
      <c r="BA21" s="75" t="s">
        <v>57</v>
      </c>
      <c r="BB21" s="75"/>
      <c r="BC21" s="75"/>
      <c r="BD21" s="75"/>
      <c r="BE21" s="2" t="s">
        <v>53</v>
      </c>
      <c r="BF21" s="2"/>
      <c r="BG21" s="2"/>
      <c r="BH21" s="2"/>
      <c r="BI21" s="1"/>
      <c r="BM21" s="1"/>
      <c r="BN21" s="1"/>
    </row>
    <row r="22" spans="1:66" x14ac:dyDescent="0.2">
      <c r="A22" s="110" t="s">
        <v>58</v>
      </c>
      <c r="B22" s="102">
        <v>80</v>
      </c>
      <c r="C22" s="102">
        <v>80</v>
      </c>
      <c r="D22" s="102">
        <v>41</v>
      </c>
      <c r="E22" s="102">
        <v>0</v>
      </c>
      <c r="F22" s="31">
        <v>0.17</v>
      </c>
      <c r="G22" s="6">
        <v>1</v>
      </c>
      <c r="H22" s="7">
        <v>9.8000000000000007</v>
      </c>
      <c r="I22" s="8">
        <v>68</v>
      </c>
      <c r="J22" s="8">
        <v>154</v>
      </c>
      <c r="K22" s="8">
        <v>612</v>
      </c>
      <c r="L22" s="7">
        <v>5.5</v>
      </c>
      <c r="M22" s="7">
        <v>2.8</v>
      </c>
      <c r="N22" s="47">
        <v>17</v>
      </c>
      <c r="O22" s="9">
        <v>0</v>
      </c>
      <c r="P22" s="9">
        <v>0</v>
      </c>
      <c r="Q22" s="41">
        <f>B22*$F22</f>
        <v>13.600000000000001</v>
      </c>
      <c r="R22" s="41">
        <f t="shared" ref="R22:T32" si="2">C22*$F22</f>
        <v>13.600000000000001</v>
      </c>
      <c r="S22" s="41">
        <f t="shared" si="2"/>
        <v>6.9700000000000006</v>
      </c>
      <c r="T22" s="41">
        <f t="shared" si="2"/>
        <v>0</v>
      </c>
      <c r="U22" s="41">
        <f>Q22*$G22</f>
        <v>13.600000000000001</v>
      </c>
      <c r="V22" s="41">
        <f t="shared" ref="V22:X32" si="3">R22*$G22</f>
        <v>13.600000000000001</v>
      </c>
      <c r="W22" s="41">
        <f t="shared" si="3"/>
        <v>6.9700000000000006</v>
      </c>
      <c r="X22" s="41">
        <f t="shared" si="3"/>
        <v>0</v>
      </c>
      <c r="Y22" s="41">
        <f>$H22*Q22</f>
        <v>133.28000000000003</v>
      </c>
      <c r="Z22" s="41">
        <f t="shared" ref="Z22:AB32" si="4">$H22*R22</f>
        <v>133.28000000000003</v>
      </c>
      <c r="AA22" s="41">
        <f t="shared" si="4"/>
        <v>68.306000000000012</v>
      </c>
      <c r="AB22" s="41">
        <f t="shared" si="4"/>
        <v>0</v>
      </c>
      <c r="AC22" s="41">
        <f>Q22*$I22</f>
        <v>924.80000000000007</v>
      </c>
      <c r="AD22" s="41">
        <f t="shared" ref="AD22:AF32" si="5">R22*$I22</f>
        <v>924.80000000000007</v>
      </c>
      <c r="AE22" s="41">
        <f t="shared" si="5"/>
        <v>473.96000000000004</v>
      </c>
      <c r="AF22" s="41">
        <f t="shared" si="5"/>
        <v>0</v>
      </c>
      <c r="AG22" s="41">
        <f>Q22*$J22</f>
        <v>2094.4</v>
      </c>
      <c r="AH22" s="41">
        <f t="shared" ref="AH22:AJ32" si="6">R22*$J22</f>
        <v>2094.4</v>
      </c>
      <c r="AI22" s="41">
        <f t="shared" si="6"/>
        <v>1073.3800000000001</v>
      </c>
      <c r="AJ22" s="41">
        <f t="shared" si="6"/>
        <v>0</v>
      </c>
      <c r="AK22" s="41">
        <f>Q22*$K22</f>
        <v>8323.2000000000007</v>
      </c>
      <c r="AL22" s="41">
        <f t="shared" ref="AL22:AN32" si="7">R22*$K22</f>
        <v>8323.2000000000007</v>
      </c>
      <c r="AM22" s="41">
        <f t="shared" si="7"/>
        <v>4265.6400000000003</v>
      </c>
      <c r="AN22" s="41">
        <f t="shared" si="7"/>
        <v>0</v>
      </c>
      <c r="AO22" s="41">
        <f>Q22*$L22</f>
        <v>74.800000000000011</v>
      </c>
      <c r="AP22" s="41">
        <f t="shared" ref="AP22:AR32" si="8">R22*$L22</f>
        <v>74.800000000000011</v>
      </c>
      <c r="AQ22" s="41">
        <f t="shared" si="8"/>
        <v>38.335000000000001</v>
      </c>
      <c r="AR22" s="41">
        <f t="shared" si="8"/>
        <v>0</v>
      </c>
      <c r="AS22" s="41">
        <f>Q22*$M22</f>
        <v>38.08</v>
      </c>
      <c r="AT22" s="41">
        <f t="shared" ref="AT22:AV32" si="9">R22*$M22</f>
        <v>38.08</v>
      </c>
      <c r="AU22" s="41">
        <f t="shared" si="9"/>
        <v>19.516000000000002</v>
      </c>
      <c r="AV22" s="41">
        <f t="shared" si="9"/>
        <v>0</v>
      </c>
      <c r="AW22" s="43">
        <f>$N22*B22/100</f>
        <v>13.6</v>
      </c>
      <c r="AX22" s="43">
        <f t="shared" ref="AX22:AZ32" si="10">$N22*C22/100</f>
        <v>13.6</v>
      </c>
      <c r="AY22" s="43">
        <f t="shared" si="10"/>
        <v>6.97</v>
      </c>
      <c r="AZ22" s="43">
        <f t="shared" si="10"/>
        <v>0</v>
      </c>
      <c r="BA22" s="43">
        <f>$O22*AG22</f>
        <v>0</v>
      </c>
      <c r="BB22" s="43">
        <f t="shared" ref="BB22:BD32" si="11">$O22*AH22</f>
        <v>0</v>
      </c>
      <c r="BC22" s="43">
        <f t="shared" si="11"/>
        <v>0</v>
      </c>
      <c r="BD22" s="43">
        <f t="shared" si="11"/>
        <v>0</v>
      </c>
      <c r="BE22" s="42">
        <f>$P22*Q22</f>
        <v>0</v>
      </c>
      <c r="BF22" s="42">
        <f t="shared" ref="BF22:BH32" si="12">$P22*R22</f>
        <v>0</v>
      </c>
      <c r="BG22" s="42">
        <f t="shared" si="12"/>
        <v>0</v>
      </c>
      <c r="BH22" s="42">
        <f t="shared" si="12"/>
        <v>0</v>
      </c>
      <c r="BJ22" s="4"/>
      <c r="BK22" s="4"/>
      <c r="BL22" s="4"/>
    </row>
    <row r="23" spans="1:66" s="4" customFormat="1" x14ac:dyDescent="0.2">
      <c r="A23" s="110" t="s">
        <v>59</v>
      </c>
      <c r="B23" s="102"/>
      <c r="C23" s="102"/>
      <c r="D23" s="102">
        <v>24</v>
      </c>
      <c r="E23" s="102"/>
      <c r="F23" s="31">
        <v>0.28999999999999998</v>
      </c>
      <c r="G23" s="6">
        <v>1</v>
      </c>
      <c r="H23" s="7">
        <v>10.3</v>
      </c>
      <c r="I23" s="8">
        <v>70</v>
      </c>
      <c r="J23" s="8">
        <v>123</v>
      </c>
      <c r="K23" s="8">
        <v>570</v>
      </c>
      <c r="L23" s="7">
        <v>6</v>
      </c>
      <c r="M23" s="7">
        <v>2.7</v>
      </c>
      <c r="N23" s="47">
        <v>29</v>
      </c>
      <c r="O23" s="78">
        <v>0</v>
      </c>
      <c r="P23" s="78">
        <v>0</v>
      </c>
      <c r="Q23" s="41">
        <f>B23*$F23</f>
        <v>0</v>
      </c>
      <c r="R23" s="41">
        <f t="shared" si="2"/>
        <v>0</v>
      </c>
      <c r="S23" s="41">
        <f t="shared" si="2"/>
        <v>6.9599999999999991</v>
      </c>
      <c r="T23" s="41">
        <f t="shared" si="2"/>
        <v>0</v>
      </c>
      <c r="U23" s="41">
        <f t="shared" ref="U23:U32" si="13">Q23*$G23</f>
        <v>0</v>
      </c>
      <c r="V23" s="41">
        <f t="shared" si="3"/>
        <v>0</v>
      </c>
      <c r="W23" s="41">
        <f t="shared" si="3"/>
        <v>6.9599999999999991</v>
      </c>
      <c r="X23" s="41">
        <f t="shared" si="3"/>
        <v>0</v>
      </c>
      <c r="Y23" s="41">
        <f t="shared" ref="Y23:Y32" si="14">$H23*Q23</f>
        <v>0</v>
      </c>
      <c r="Z23" s="41">
        <f t="shared" si="4"/>
        <v>0</v>
      </c>
      <c r="AA23" s="41">
        <f t="shared" si="4"/>
        <v>71.688000000000002</v>
      </c>
      <c r="AB23" s="41">
        <f t="shared" si="4"/>
        <v>0</v>
      </c>
      <c r="AC23" s="41">
        <f t="shared" ref="AC23:AC32" si="15">Q23*$I23</f>
        <v>0</v>
      </c>
      <c r="AD23" s="41">
        <f t="shared" si="5"/>
        <v>0</v>
      </c>
      <c r="AE23" s="41">
        <f t="shared" si="5"/>
        <v>487.19999999999993</v>
      </c>
      <c r="AF23" s="41">
        <f t="shared" si="5"/>
        <v>0</v>
      </c>
      <c r="AG23" s="41">
        <f t="shared" ref="AG23:AG32" si="16">Q23*$J23</f>
        <v>0</v>
      </c>
      <c r="AH23" s="41">
        <f t="shared" si="6"/>
        <v>0</v>
      </c>
      <c r="AI23" s="41">
        <f t="shared" si="6"/>
        <v>856.07999999999993</v>
      </c>
      <c r="AJ23" s="41">
        <f t="shared" si="6"/>
        <v>0</v>
      </c>
      <c r="AK23" s="41">
        <f t="shared" ref="AK23:AK32" si="17">Q23*$K23</f>
        <v>0</v>
      </c>
      <c r="AL23" s="41">
        <f t="shared" si="7"/>
        <v>0</v>
      </c>
      <c r="AM23" s="41">
        <f t="shared" si="7"/>
        <v>3967.1999999999994</v>
      </c>
      <c r="AN23" s="41">
        <f t="shared" si="7"/>
        <v>0</v>
      </c>
      <c r="AO23" s="41">
        <f t="shared" ref="AO23:AO32" si="18">Q23*$L23</f>
        <v>0</v>
      </c>
      <c r="AP23" s="41">
        <f t="shared" si="8"/>
        <v>0</v>
      </c>
      <c r="AQ23" s="41">
        <f t="shared" si="8"/>
        <v>41.759999999999991</v>
      </c>
      <c r="AR23" s="41">
        <f t="shared" si="8"/>
        <v>0</v>
      </c>
      <c r="AS23" s="41">
        <f t="shared" ref="AS23:AS32" si="19">Q23*$M23</f>
        <v>0</v>
      </c>
      <c r="AT23" s="41">
        <f t="shared" si="9"/>
        <v>0</v>
      </c>
      <c r="AU23" s="41">
        <f t="shared" si="9"/>
        <v>18.791999999999998</v>
      </c>
      <c r="AV23" s="41">
        <f t="shared" si="9"/>
        <v>0</v>
      </c>
      <c r="AW23" s="43">
        <f t="shared" ref="AW23:AW32" si="20">$N23*B23/100</f>
        <v>0</v>
      </c>
      <c r="AX23" s="43">
        <f t="shared" si="10"/>
        <v>0</v>
      </c>
      <c r="AY23" s="43">
        <f t="shared" si="10"/>
        <v>6.96</v>
      </c>
      <c r="AZ23" s="43">
        <f t="shared" si="10"/>
        <v>0</v>
      </c>
      <c r="BA23" s="43">
        <f t="shared" ref="BA23:BA32" si="21">$O23*AG23</f>
        <v>0</v>
      </c>
      <c r="BB23" s="43">
        <f t="shared" si="11"/>
        <v>0</v>
      </c>
      <c r="BC23" s="43">
        <f t="shared" si="11"/>
        <v>0</v>
      </c>
      <c r="BD23" s="43">
        <f t="shared" si="11"/>
        <v>0</v>
      </c>
      <c r="BE23" s="42">
        <f t="shared" ref="BE23:BE32" si="22">$P23*Q23</f>
        <v>0</v>
      </c>
      <c r="BF23" s="42">
        <f t="shared" si="12"/>
        <v>0</v>
      </c>
      <c r="BG23" s="42">
        <f t="shared" si="12"/>
        <v>0</v>
      </c>
      <c r="BH23" s="42">
        <f t="shared" si="12"/>
        <v>0</v>
      </c>
      <c r="BI23" s="1"/>
      <c r="BM23" s="1"/>
      <c r="BN23" s="1"/>
    </row>
    <row r="24" spans="1:66" s="4" customFormat="1" x14ac:dyDescent="0.2">
      <c r="A24" s="166" t="s">
        <v>60</v>
      </c>
      <c r="B24" s="7">
        <v>0</v>
      </c>
      <c r="C24" s="7"/>
      <c r="D24" s="7"/>
      <c r="E24" s="7"/>
      <c r="F24" s="31">
        <v>0.84</v>
      </c>
      <c r="G24" s="6">
        <v>1</v>
      </c>
      <c r="H24" s="7">
        <v>10</v>
      </c>
      <c r="I24" s="8">
        <v>69</v>
      </c>
      <c r="J24" s="8">
        <v>90</v>
      </c>
      <c r="K24" s="8">
        <v>650</v>
      </c>
      <c r="L24" s="7">
        <v>5</v>
      </c>
      <c r="M24" s="7">
        <v>3</v>
      </c>
      <c r="N24" s="47">
        <v>150</v>
      </c>
      <c r="O24" s="78">
        <v>0</v>
      </c>
      <c r="P24" s="78">
        <v>0</v>
      </c>
      <c r="Q24" s="41">
        <f t="shared" ref="Q24:Q32" si="23">B24*$F24</f>
        <v>0</v>
      </c>
      <c r="R24" s="41">
        <f t="shared" si="2"/>
        <v>0</v>
      </c>
      <c r="S24" s="41">
        <f t="shared" si="2"/>
        <v>0</v>
      </c>
      <c r="T24" s="41">
        <f t="shared" si="2"/>
        <v>0</v>
      </c>
      <c r="U24" s="41">
        <f t="shared" si="13"/>
        <v>0</v>
      </c>
      <c r="V24" s="41">
        <f t="shared" si="3"/>
        <v>0</v>
      </c>
      <c r="W24" s="41">
        <f t="shared" si="3"/>
        <v>0</v>
      </c>
      <c r="X24" s="41">
        <f t="shared" si="3"/>
        <v>0</v>
      </c>
      <c r="Y24" s="41">
        <f t="shared" si="14"/>
        <v>0</v>
      </c>
      <c r="Z24" s="41">
        <f t="shared" si="4"/>
        <v>0</v>
      </c>
      <c r="AA24" s="41">
        <f t="shared" si="4"/>
        <v>0</v>
      </c>
      <c r="AB24" s="41">
        <f t="shared" si="4"/>
        <v>0</v>
      </c>
      <c r="AC24" s="41">
        <f t="shared" si="15"/>
        <v>0</v>
      </c>
      <c r="AD24" s="41">
        <f t="shared" si="5"/>
        <v>0</v>
      </c>
      <c r="AE24" s="41">
        <f t="shared" si="5"/>
        <v>0</v>
      </c>
      <c r="AF24" s="41">
        <f t="shared" si="5"/>
        <v>0</v>
      </c>
      <c r="AG24" s="41">
        <f t="shared" si="16"/>
        <v>0</v>
      </c>
      <c r="AH24" s="41">
        <f t="shared" si="6"/>
        <v>0</v>
      </c>
      <c r="AI24" s="41">
        <f t="shared" si="6"/>
        <v>0</v>
      </c>
      <c r="AJ24" s="41">
        <f t="shared" si="6"/>
        <v>0</v>
      </c>
      <c r="AK24" s="41">
        <f t="shared" si="17"/>
        <v>0</v>
      </c>
      <c r="AL24" s="41">
        <f t="shared" si="7"/>
        <v>0</v>
      </c>
      <c r="AM24" s="41">
        <f t="shared" si="7"/>
        <v>0</v>
      </c>
      <c r="AN24" s="41">
        <f t="shared" si="7"/>
        <v>0</v>
      </c>
      <c r="AO24" s="41">
        <f t="shared" si="18"/>
        <v>0</v>
      </c>
      <c r="AP24" s="41">
        <f t="shared" si="8"/>
        <v>0</v>
      </c>
      <c r="AQ24" s="41">
        <f t="shared" si="8"/>
        <v>0</v>
      </c>
      <c r="AR24" s="41">
        <f t="shared" si="8"/>
        <v>0</v>
      </c>
      <c r="AS24" s="41">
        <f t="shared" si="19"/>
        <v>0</v>
      </c>
      <c r="AT24" s="41">
        <f t="shared" si="9"/>
        <v>0</v>
      </c>
      <c r="AU24" s="41">
        <f t="shared" si="9"/>
        <v>0</v>
      </c>
      <c r="AV24" s="41">
        <f t="shared" si="9"/>
        <v>0</v>
      </c>
      <c r="AW24" s="43">
        <f t="shared" si="20"/>
        <v>0</v>
      </c>
      <c r="AX24" s="43">
        <f t="shared" si="10"/>
        <v>0</v>
      </c>
      <c r="AY24" s="43">
        <f t="shared" si="10"/>
        <v>0</v>
      </c>
      <c r="AZ24" s="43">
        <f t="shared" si="10"/>
        <v>0</v>
      </c>
      <c r="BA24" s="43">
        <f t="shared" si="21"/>
        <v>0</v>
      </c>
      <c r="BB24" s="43">
        <f t="shared" si="11"/>
        <v>0</v>
      </c>
      <c r="BC24" s="43">
        <f t="shared" si="11"/>
        <v>0</v>
      </c>
      <c r="BD24" s="43">
        <f t="shared" si="11"/>
        <v>0</v>
      </c>
      <c r="BE24" s="42">
        <f t="shared" si="22"/>
        <v>0</v>
      </c>
      <c r="BF24" s="42">
        <f t="shared" si="12"/>
        <v>0</v>
      </c>
      <c r="BG24" s="42">
        <f t="shared" si="12"/>
        <v>0</v>
      </c>
      <c r="BH24" s="42">
        <f t="shared" si="12"/>
        <v>0</v>
      </c>
    </row>
    <row r="25" spans="1:66" x14ac:dyDescent="0.2">
      <c r="A25" s="166" t="s">
        <v>61</v>
      </c>
      <c r="B25" s="7"/>
      <c r="C25" s="7"/>
      <c r="D25" s="7"/>
      <c r="E25" s="7"/>
      <c r="F25" s="31">
        <v>0.27</v>
      </c>
      <c r="G25" s="6">
        <v>1</v>
      </c>
      <c r="H25" s="7">
        <v>12.8</v>
      </c>
      <c r="I25" s="8">
        <v>100</v>
      </c>
      <c r="J25" s="8">
        <v>90</v>
      </c>
      <c r="K25" s="8">
        <v>300</v>
      </c>
      <c r="L25" s="7">
        <v>8.8000000000000007</v>
      </c>
      <c r="M25" s="7">
        <v>0.8</v>
      </c>
      <c r="N25" s="47">
        <v>30</v>
      </c>
      <c r="O25" s="78">
        <v>1</v>
      </c>
      <c r="P25" s="78">
        <v>0</v>
      </c>
      <c r="Q25" s="41">
        <f t="shared" si="23"/>
        <v>0</v>
      </c>
      <c r="R25" s="41">
        <f t="shared" si="2"/>
        <v>0</v>
      </c>
      <c r="S25" s="41">
        <f t="shared" si="2"/>
        <v>0</v>
      </c>
      <c r="T25" s="41">
        <f t="shared" si="2"/>
        <v>0</v>
      </c>
      <c r="U25" s="41">
        <f t="shared" si="13"/>
        <v>0</v>
      </c>
      <c r="V25" s="41">
        <f t="shared" si="3"/>
        <v>0</v>
      </c>
      <c r="W25" s="41">
        <f t="shared" si="3"/>
        <v>0</v>
      </c>
      <c r="X25" s="41">
        <f t="shared" si="3"/>
        <v>0</v>
      </c>
      <c r="Y25" s="41">
        <f t="shared" si="14"/>
        <v>0</v>
      </c>
      <c r="Z25" s="41">
        <f t="shared" si="4"/>
        <v>0</v>
      </c>
      <c r="AA25" s="41">
        <f t="shared" si="4"/>
        <v>0</v>
      </c>
      <c r="AB25" s="41">
        <f t="shared" si="4"/>
        <v>0</v>
      </c>
      <c r="AC25" s="41">
        <f t="shared" si="15"/>
        <v>0</v>
      </c>
      <c r="AD25" s="41">
        <f t="shared" si="5"/>
        <v>0</v>
      </c>
      <c r="AE25" s="41">
        <f t="shared" si="5"/>
        <v>0</v>
      </c>
      <c r="AF25" s="41">
        <f t="shared" si="5"/>
        <v>0</v>
      </c>
      <c r="AG25" s="41">
        <f t="shared" si="16"/>
        <v>0</v>
      </c>
      <c r="AH25" s="41">
        <f t="shared" si="6"/>
        <v>0</v>
      </c>
      <c r="AI25" s="41">
        <f t="shared" si="6"/>
        <v>0</v>
      </c>
      <c r="AJ25" s="41">
        <f t="shared" si="6"/>
        <v>0</v>
      </c>
      <c r="AK25" s="41">
        <f t="shared" si="17"/>
        <v>0</v>
      </c>
      <c r="AL25" s="41">
        <f t="shared" si="7"/>
        <v>0</v>
      </c>
      <c r="AM25" s="41">
        <f t="shared" si="7"/>
        <v>0</v>
      </c>
      <c r="AN25" s="41">
        <f t="shared" si="7"/>
        <v>0</v>
      </c>
      <c r="AO25" s="41">
        <f t="shared" si="18"/>
        <v>0</v>
      </c>
      <c r="AP25" s="41">
        <f t="shared" si="8"/>
        <v>0</v>
      </c>
      <c r="AQ25" s="41">
        <f t="shared" si="8"/>
        <v>0</v>
      </c>
      <c r="AR25" s="41">
        <f t="shared" si="8"/>
        <v>0</v>
      </c>
      <c r="AS25" s="41">
        <f t="shared" si="19"/>
        <v>0</v>
      </c>
      <c r="AT25" s="41">
        <f t="shared" si="9"/>
        <v>0</v>
      </c>
      <c r="AU25" s="41">
        <f t="shared" si="9"/>
        <v>0</v>
      </c>
      <c r="AV25" s="41">
        <f t="shared" si="9"/>
        <v>0</v>
      </c>
      <c r="AW25" s="43">
        <f t="shared" si="20"/>
        <v>0</v>
      </c>
      <c r="AX25" s="43">
        <f t="shared" si="10"/>
        <v>0</v>
      </c>
      <c r="AY25" s="43">
        <f t="shared" si="10"/>
        <v>0</v>
      </c>
      <c r="AZ25" s="43">
        <f t="shared" si="10"/>
        <v>0</v>
      </c>
      <c r="BA25" s="43">
        <f t="shared" si="21"/>
        <v>0</v>
      </c>
      <c r="BB25" s="43">
        <f t="shared" si="11"/>
        <v>0</v>
      </c>
      <c r="BC25" s="43">
        <f t="shared" si="11"/>
        <v>0</v>
      </c>
      <c r="BD25" s="43">
        <f t="shared" si="11"/>
        <v>0</v>
      </c>
      <c r="BE25" s="42">
        <f t="shared" si="22"/>
        <v>0</v>
      </c>
      <c r="BF25" s="42">
        <f t="shared" si="12"/>
        <v>0</v>
      </c>
      <c r="BG25" s="42">
        <f t="shared" si="12"/>
        <v>0</v>
      </c>
      <c r="BH25" s="42">
        <f t="shared" si="12"/>
        <v>0</v>
      </c>
      <c r="BI25" s="4"/>
      <c r="BJ25" s="4"/>
      <c r="BK25" s="4"/>
      <c r="BL25" s="4"/>
    </row>
    <row r="26" spans="1:66" x14ac:dyDescent="0.2">
      <c r="A26" s="110" t="s">
        <v>62</v>
      </c>
      <c r="B26" s="102"/>
      <c r="C26" s="102">
        <v>0</v>
      </c>
      <c r="D26" s="102">
        <v>20</v>
      </c>
      <c r="E26" s="102">
        <v>0</v>
      </c>
      <c r="F26" s="31">
        <v>0.87</v>
      </c>
      <c r="G26" s="6">
        <v>0</v>
      </c>
      <c r="H26" s="7">
        <v>13</v>
      </c>
      <c r="I26" s="8">
        <v>102</v>
      </c>
      <c r="J26" s="8">
        <v>163</v>
      </c>
      <c r="K26" s="8">
        <v>232</v>
      </c>
      <c r="L26" s="7">
        <v>7.29</v>
      </c>
      <c r="M26" s="7">
        <v>5.0999999999999996</v>
      </c>
      <c r="N26" s="47">
        <v>1.34</v>
      </c>
      <c r="O26" s="78">
        <v>0</v>
      </c>
      <c r="P26" s="78">
        <v>0</v>
      </c>
      <c r="Q26" s="41">
        <f t="shared" si="23"/>
        <v>0</v>
      </c>
      <c r="R26" s="41">
        <f t="shared" si="2"/>
        <v>0</v>
      </c>
      <c r="S26" s="41">
        <f t="shared" si="2"/>
        <v>17.399999999999999</v>
      </c>
      <c r="T26" s="41">
        <f t="shared" si="2"/>
        <v>0</v>
      </c>
      <c r="U26" s="41">
        <f t="shared" si="13"/>
        <v>0</v>
      </c>
      <c r="V26" s="41">
        <f t="shared" si="3"/>
        <v>0</v>
      </c>
      <c r="W26" s="41">
        <f t="shared" si="3"/>
        <v>0</v>
      </c>
      <c r="X26" s="41">
        <f t="shared" si="3"/>
        <v>0</v>
      </c>
      <c r="Y26" s="41">
        <f t="shared" si="14"/>
        <v>0</v>
      </c>
      <c r="Z26" s="41">
        <f t="shared" si="4"/>
        <v>0</v>
      </c>
      <c r="AA26" s="41">
        <f t="shared" si="4"/>
        <v>226.2</v>
      </c>
      <c r="AB26" s="41">
        <f t="shared" si="4"/>
        <v>0</v>
      </c>
      <c r="AC26" s="41">
        <f t="shared" si="15"/>
        <v>0</v>
      </c>
      <c r="AD26" s="41">
        <f t="shared" si="5"/>
        <v>0</v>
      </c>
      <c r="AE26" s="41">
        <f t="shared" si="5"/>
        <v>1774.8</v>
      </c>
      <c r="AF26" s="41">
        <f t="shared" si="5"/>
        <v>0</v>
      </c>
      <c r="AG26" s="41">
        <f t="shared" si="16"/>
        <v>0</v>
      </c>
      <c r="AH26" s="41">
        <f t="shared" si="6"/>
        <v>0</v>
      </c>
      <c r="AI26" s="41">
        <f t="shared" si="6"/>
        <v>2836.2</v>
      </c>
      <c r="AJ26" s="41">
        <f t="shared" si="6"/>
        <v>0</v>
      </c>
      <c r="AK26" s="41">
        <f t="shared" si="17"/>
        <v>0</v>
      </c>
      <c r="AL26" s="41">
        <f t="shared" si="7"/>
        <v>0</v>
      </c>
      <c r="AM26" s="41">
        <f t="shared" si="7"/>
        <v>4036.7999999999997</v>
      </c>
      <c r="AN26" s="41">
        <f t="shared" si="7"/>
        <v>0</v>
      </c>
      <c r="AO26" s="41">
        <f t="shared" si="18"/>
        <v>0</v>
      </c>
      <c r="AP26" s="41">
        <f t="shared" si="8"/>
        <v>0</v>
      </c>
      <c r="AQ26" s="41">
        <f t="shared" si="8"/>
        <v>126.84599999999999</v>
      </c>
      <c r="AR26" s="41">
        <f t="shared" si="8"/>
        <v>0</v>
      </c>
      <c r="AS26" s="41">
        <f t="shared" si="19"/>
        <v>0</v>
      </c>
      <c r="AT26" s="41">
        <f t="shared" si="9"/>
        <v>0</v>
      </c>
      <c r="AU26" s="41">
        <f t="shared" si="9"/>
        <v>88.739999999999981</v>
      </c>
      <c r="AV26" s="41">
        <f t="shared" si="9"/>
        <v>0</v>
      </c>
      <c r="AW26" s="43">
        <f t="shared" si="20"/>
        <v>0</v>
      </c>
      <c r="AX26" s="43">
        <f t="shared" si="10"/>
        <v>0</v>
      </c>
      <c r="AY26" s="43">
        <f t="shared" si="10"/>
        <v>0.26800000000000002</v>
      </c>
      <c r="AZ26" s="43">
        <f t="shared" si="10"/>
        <v>0</v>
      </c>
      <c r="BA26" s="43">
        <f t="shared" si="21"/>
        <v>0</v>
      </c>
      <c r="BB26" s="43">
        <f t="shared" si="11"/>
        <v>0</v>
      </c>
      <c r="BC26" s="43">
        <f t="shared" si="11"/>
        <v>0</v>
      </c>
      <c r="BD26" s="43">
        <f t="shared" si="11"/>
        <v>0</v>
      </c>
      <c r="BE26" s="42">
        <f t="shared" si="22"/>
        <v>0</v>
      </c>
      <c r="BF26" s="42">
        <f t="shared" si="12"/>
        <v>0</v>
      </c>
      <c r="BG26" s="42">
        <f t="shared" si="12"/>
        <v>0</v>
      </c>
      <c r="BH26" s="42">
        <f t="shared" si="12"/>
        <v>0</v>
      </c>
      <c r="BI26" s="4"/>
      <c r="BJ26" s="4"/>
      <c r="BK26" s="4"/>
      <c r="BL26" s="4"/>
      <c r="BM26" s="4"/>
      <c r="BN26" s="4"/>
    </row>
    <row r="27" spans="1:66" x14ac:dyDescent="0.2">
      <c r="A27" s="166" t="s">
        <v>63</v>
      </c>
      <c r="B27" s="7"/>
      <c r="C27" s="7">
        <v>0</v>
      </c>
      <c r="D27" s="7">
        <v>0</v>
      </c>
      <c r="E27" s="7"/>
      <c r="F27" s="31">
        <v>0.89</v>
      </c>
      <c r="G27" s="6">
        <v>0</v>
      </c>
      <c r="H27" s="7">
        <v>12.3</v>
      </c>
      <c r="I27" s="8">
        <v>145</v>
      </c>
      <c r="J27" s="8">
        <v>290</v>
      </c>
      <c r="K27" s="8">
        <v>296</v>
      </c>
      <c r="L27" s="7">
        <v>29</v>
      </c>
      <c r="M27" s="7">
        <v>9</v>
      </c>
      <c r="N27" s="47">
        <v>202</v>
      </c>
      <c r="O27" s="78">
        <v>1</v>
      </c>
      <c r="P27" s="78">
        <v>0</v>
      </c>
      <c r="Q27" s="41">
        <f t="shared" si="23"/>
        <v>0</v>
      </c>
      <c r="R27" s="41">
        <f t="shared" si="2"/>
        <v>0</v>
      </c>
      <c r="S27" s="41">
        <f t="shared" si="2"/>
        <v>0</v>
      </c>
      <c r="T27" s="41">
        <f t="shared" si="2"/>
        <v>0</v>
      </c>
      <c r="U27" s="41">
        <f t="shared" si="13"/>
        <v>0</v>
      </c>
      <c r="V27" s="41">
        <f t="shared" si="3"/>
        <v>0</v>
      </c>
      <c r="W27" s="41">
        <f t="shared" si="3"/>
        <v>0</v>
      </c>
      <c r="X27" s="41">
        <f t="shared" si="3"/>
        <v>0</v>
      </c>
      <c r="Y27" s="41">
        <f t="shared" si="14"/>
        <v>0</v>
      </c>
      <c r="Z27" s="41">
        <f t="shared" si="4"/>
        <v>0</v>
      </c>
      <c r="AA27" s="41">
        <f t="shared" si="4"/>
        <v>0</v>
      </c>
      <c r="AB27" s="41">
        <f t="shared" si="4"/>
        <v>0</v>
      </c>
      <c r="AC27" s="41">
        <f t="shared" si="15"/>
        <v>0</v>
      </c>
      <c r="AD27" s="41">
        <f t="shared" si="5"/>
        <v>0</v>
      </c>
      <c r="AE27" s="41">
        <f t="shared" si="5"/>
        <v>0</v>
      </c>
      <c r="AF27" s="41">
        <f t="shared" si="5"/>
        <v>0</v>
      </c>
      <c r="AG27" s="41">
        <f t="shared" si="16"/>
        <v>0</v>
      </c>
      <c r="AH27" s="41">
        <f t="shared" si="6"/>
        <v>0</v>
      </c>
      <c r="AI27" s="41">
        <f t="shared" si="6"/>
        <v>0</v>
      </c>
      <c r="AJ27" s="41">
        <f t="shared" si="6"/>
        <v>0</v>
      </c>
      <c r="AK27" s="41">
        <f t="shared" si="17"/>
        <v>0</v>
      </c>
      <c r="AL27" s="41">
        <f t="shared" si="7"/>
        <v>0</v>
      </c>
      <c r="AM27" s="41">
        <f t="shared" si="7"/>
        <v>0</v>
      </c>
      <c r="AN27" s="41">
        <f t="shared" si="7"/>
        <v>0</v>
      </c>
      <c r="AO27" s="41">
        <f t="shared" si="18"/>
        <v>0</v>
      </c>
      <c r="AP27" s="41">
        <f t="shared" si="8"/>
        <v>0</v>
      </c>
      <c r="AQ27" s="41">
        <f t="shared" si="8"/>
        <v>0</v>
      </c>
      <c r="AR27" s="41">
        <f t="shared" si="8"/>
        <v>0</v>
      </c>
      <c r="AS27" s="41">
        <f t="shared" si="19"/>
        <v>0</v>
      </c>
      <c r="AT27" s="41">
        <f t="shared" si="9"/>
        <v>0</v>
      </c>
      <c r="AU27" s="41">
        <f t="shared" si="9"/>
        <v>0</v>
      </c>
      <c r="AV27" s="41">
        <f t="shared" si="9"/>
        <v>0</v>
      </c>
      <c r="AW27" s="43">
        <f t="shared" si="20"/>
        <v>0</v>
      </c>
      <c r="AX27" s="43">
        <f t="shared" si="10"/>
        <v>0</v>
      </c>
      <c r="AY27" s="43">
        <f t="shared" si="10"/>
        <v>0</v>
      </c>
      <c r="AZ27" s="43">
        <f t="shared" si="10"/>
        <v>0</v>
      </c>
      <c r="BA27" s="43">
        <f t="shared" si="21"/>
        <v>0</v>
      </c>
      <c r="BB27" s="43">
        <f t="shared" si="11"/>
        <v>0</v>
      </c>
      <c r="BC27" s="43">
        <f t="shared" si="11"/>
        <v>0</v>
      </c>
      <c r="BD27" s="43">
        <f t="shared" si="11"/>
        <v>0</v>
      </c>
      <c r="BE27" s="42">
        <f t="shared" si="22"/>
        <v>0</v>
      </c>
      <c r="BF27" s="42">
        <f t="shared" si="12"/>
        <v>0</v>
      </c>
      <c r="BG27" s="42">
        <f t="shared" si="12"/>
        <v>0</v>
      </c>
      <c r="BH27" s="42">
        <f t="shared" si="12"/>
        <v>0</v>
      </c>
      <c r="BI27" s="4"/>
      <c r="BJ27" s="4"/>
      <c r="BK27" s="4"/>
      <c r="BL27" s="4"/>
      <c r="BM27" s="4"/>
      <c r="BN27" s="4"/>
    </row>
    <row r="28" spans="1:66" x14ac:dyDescent="0.2">
      <c r="A28" s="166" t="s">
        <v>64</v>
      </c>
      <c r="B28" s="7">
        <v>35</v>
      </c>
      <c r="C28" s="7">
        <v>54</v>
      </c>
      <c r="D28" s="7">
        <v>10</v>
      </c>
      <c r="E28" s="7">
        <v>10</v>
      </c>
      <c r="F28" s="32">
        <v>0.87</v>
      </c>
      <c r="G28" s="6">
        <v>0</v>
      </c>
      <c r="H28" s="7">
        <v>13</v>
      </c>
      <c r="I28" s="8">
        <v>120</v>
      </c>
      <c r="J28" s="8">
        <v>200</v>
      </c>
      <c r="K28" s="8">
        <v>292</v>
      </c>
      <c r="L28" s="7">
        <v>13.5</v>
      </c>
      <c r="M28" s="7">
        <v>6.8</v>
      </c>
      <c r="N28" s="47">
        <v>172</v>
      </c>
      <c r="O28" s="78">
        <v>1</v>
      </c>
      <c r="P28" s="78">
        <v>0</v>
      </c>
      <c r="Q28" s="41">
        <f t="shared" si="23"/>
        <v>30.45</v>
      </c>
      <c r="R28" s="41">
        <f t="shared" si="2"/>
        <v>46.98</v>
      </c>
      <c r="S28" s="41">
        <f t="shared" si="2"/>
        <v>8.6999999999999993</v>
      </c>
      <c r="T28" s="41">
        <f t="shared" si="2"/>
        <v>8.6999999999999993</v>
      </c>
      <c r="U28" s="41">
        <f t="shared" si="13"/>
        <v>0</v>
      </c>
      <c r="V28" s="41">
        <f t="shared" si="3"/>
        <v>0</v>
      </c>
      <c r="W28" s="41">
        <f t="shared" si="3"/>
        <v>0</v>
      </c>
      <c r="X28" s="41">
        <f t="shared" si="3"/>
        <v>0</v>
      </c>
      <c r="Y28" s="41">
        <f t="shared" si="14"/>
        <v>395.84999999999997</v>
      </c>
      <c r="Z28" s="41">
        <f t="shared" si="4"/>
        <v>610.74</v>
      </c>
      <c r="AA28" s="41">
        <f t="shared" si="4"/>
        <v>113.1</v>
      </c>
      <c r="AB28" s="41">
        <f t="shared" si="4"/>
        <v>113.1</v>
      </c>
      <c r="AC28" s="41">
        <f t="shared" si="15"/>
        <v>3654</v>
      </c>
      <c r="AD28" s="41">
        <f t="shared" si="5"/>
        <v>5637.5999999999995</v>
      </c>
      <c r="AE28" s="41">
        <f t="shared" si="5"/>
        <v>1044</v>
      </c>
      <c r="AF28" s="41">
        <f t="shared" si="5"/>
        <v>1044</v>
      </c>
      <c r="AG28" s="41">
        <f t="shared" si="16"/>
        <v>6090</v>
      </c>
      <c r="AH28" s="41">
        <f t="shared" si="6"/>
        <v>9396</v>
      </c>
      <c r="AI28" s="41">
        <f t="shared" si="6"/>
        <v>1739.9999999999998</v>
      </c>
      <c r="AJ28" s="41">
        <f t="shared" si="6"/>
        <v>1739.9999999999998</v>
      </c>
      <c r="AK28" s="41">
        <f t="shared" si="17"/>
        <v>8891.4</v>
      </c>
      <c r="AL28" s="41">
        <f t="shared" si="7"/>
        <v>13718.16</v>
      </c>
      <c r="AM28" s="41">
        <f t="shared" si="7"/>
        <v>2540.3999999999996</v>
      </c>
      <c r="AN28" s="41">
        <f t="shared" si="7"/>
        <v>2540.3999999999996</v>
      </c>
      <c r="AO28" s="41">
        <f t="shared" si="18"/>
        <v>411.07499999999999</v>
      </c>
      <c r="AP28" s="41">
        <f t="shared" si="8"/>
        <v>634.2299999999999</v>
      </c>
      <c r="AQ28" s="41">
        <f t="shared" si="8"/>
        <v>117.44999999999999</v>
      </c>
      <c r="AR28" s="41">
        <f t="shared" si="8"/>
        <v>117.44999999999999</v>
      </c>
      <c r="AS28" s="41">
        <f t="shared" si="19"/>
        <v>207.06</v>
      </c>
      <c r="AT28" s="41">
        <f t="shared" si="9"/>
        <v>319.464</v>
      </c>
      <c r="AU28" s="41">
        <f t="shared" si="9"/>
        <v>59.16</v>
      </c>
      <c r="AV28" s="41">
        <f t="shared" si="9"/>
        <v>59.16</v>
      </c>
      <c r="AW28" s="43">
        <f t="shared" si="20"/>
        <v>60.2</v>
      </c>
      <c r="AX28" s="43">
        <f t="shared" si="10"/>
        <v>92.88</v>
      </c>
      <c r="AY28" s="43">
        <f t="shared" si="10"/>
        <v>17.2</v>
      </c>
      <c r="AZ28" s="43">
        <f t="shared" si="10"/>
        <v>17.2</v>
      </c>
      <c r="BA28" s="43">
        <f t="shared" si="21"/>
        <v>6090</v>
      </c>
      <c r="BB28" s="43">
        <f t="shared" si="11"/>
        <v>9396</v>
      </c>
      <c r="BC28" s="43">
        <f t="shared" si="11"/>
        <v>1739.9999999999998</v>
      </c>
      <c r="BD28" s="43">
        <f t="shared" si="11"/>
        <v>1739.9999999999998</v>
      </c>
      <c r="BE28" s="42">
        <f t="shared" si="22"/>
        <v>0</v>
      </c>
      <c r="BF28" s="42">
        <f t="shared" si="12"/>
        <v>0</v>
      </c>
      <c r="BG28" s="42">
        <f t="shared" si="12"/>
        <v>0</v>
      </c>
      <c r="BH28" s="42">
        <f t="shared" si="12"/>
        <v>0</v>
      </c>
      <c r="BI28" s="4"/>
      <c r="BJ28" s="4"/>
      <c r="BK28" s="4"/>
      <c r="BL28" s="4"/>
    </row>
    <row r="29" spans="1:66" x14ac:dyDescent="0.2">
      <c r="A29" s="166" t="s">
        <v>65</v>
      </c>
      <c r="B29" s="7"/>
      <c r="C29" s="7"/>
      <c r="D29" s="7"/>
      <c r="E29" s="7"/>
      <c r="F29" s="32"/>
      <c r="G29" s="6"/>
      <c r="H29" s="7"/>
      <c r="I29" s="8"/>
      <c r="J29" s="8"/>
      <c r="K29" s="8"/>
      <c r="L29" s="7"/>
      <c r="M29" s="7"/>
      <c r="N29" s="47"/>
      <c r="O29" s="78"/>
      <c r="P29" s="78"/>
      <c r="Q29" s="41">
        <f t="shared" si="23"/>
        <v>0</v>
      </c>
      <c r="R29" s="41">
        <f t="shared" si="2"/>
        <v>0</v>
      </c>
      <c r="S29" s="41">
        <f t="shared" si="2"/>
        <v>0</v>
      </c>
      <c r="T29" s="41">
        <f t="shared" si="2"/>
        <v>0</v>
      </c>
      <c r="U29" s="41">
        <f t="shared" si="13"/>
        <v>0</v>
      </c>
      <c r="V29" s="41">
        <f t="shared" si="3"/>
        <v>0</v>
      </c>
      <c r="W29" s="41">
        <f t="shared" si="3"/>
        <v>0</v>
      </c>
      <c r="X29" s="41">
        <f t="shared" si="3"/>
        <v>0</v>
      </c>
      <c r="Y29" s="41">
        <f t="shared" si="14"/>
        <v>0</v>
      </c>
      <c r="Z29" s="41">
        <f t="shared" si="4"/>
        <v>0</v>
      </c>
      <c r="AA29" s="41">
        <f t="shared" si="4"/>
        <v>0</v>
      </c>
      <c r="AB29" s="41">
        <f t="shared" si="4"/>
        <v>0</v>
      </c>
      <c r="AC29" s="41">
        <f t="shared" si="15"/>
        <v>0</v>
      </c>
      <c r="AD29" s="41">
        <f t="shared" si="5"/>
        <v>0</v>
      </c>
      <c r="AE29" s="41">
        <f t="shared" si="5"/>
        <v>0</v>
      </c>
      <c r="AF29" s="41">
        <f t="shared" si="5"/>
        <v>0</v>
      </c>
      <c r="AG29" s="41">
        <f t="shared" si="16"/>
        <v>0</v>
      </c>
      <c r="AH29" s="41">
        <f t="shared" si="6"/>
        <v>0</v>
      </c>
      <c r="AI29" s="41">
        <f t="shared" si="6"/>
        <v>0</v>
      </c>
      <c r="AJ29" s="41">
        <f t="shared" si="6"/>
        <v>0</v>
      </c>
      <c r="AK29" s="41">
        <f t="shared" si="17"/>
        <v>0</v>
      </c>
      <c r="AL29" s="41">
        <f t="shared" si="7"/>
        <v>0</v>
      </c>
      <c r="AM29" s="41">
        <f t="shared" si="7"/>
        <v>0</v>
      </c>
      <c r="AN29" s="41">
        <f t="shared" si="7"/>
        <v>0</v>
      </c>
      <c r="AO29" s="41">
        <f t="shared" si="18"/>
        <v>0</v>
      </c>
      <c r="AP29" s="41">
        <f t="shared" si="8"/>
        <v>0</v>
      </c>
      <c r="AQ29" s="41">
        <f t="shared" si="8"/>
        <v>0</v>
      </c>
      <c r="AR29" s="41">
        <f t="shared" si="8"/>
        <v>0</v>
      </c>
      <c r="AS29" s="41">
        <f t="shared" si="19"/>
        <v>0</v>
      </c>
      <c r="AT29" s="41">
        <f t="shared" si="9"/>
        <v>0</v>
      </c>
      <c r="AU29" s="41">
        <f t="shared" si="9"/>
        <v>0</v>
      </c>
      <c r="AV29" s="41">
        <f t="shared" si="9"/>
        <v>0</v>
      </c>
      <c r="AW29" s="43">
        <f t="shared" si="20"/>
        <v>0</v>
      </c>
      <c r="AX29" s="43">
        <f t="shared" si="10"/>
        <v>0</v>
      </c>
      <c r="AY29" s="43">
        <f t="shared" si="10"/>
        <v>0</v>
      </c>
      <c r="AZ29" s="43">
        <f t="shared" si="10"/>
        <v>0</v>
      </c>
      <c r="BA29" s="43">
        <f t="shared" si="21"/>
        <v>0</v>
      </c>
      <c r="BB29" s="43">
        <f t="shared" si="11"/>
        <v>0</v>
      </c>
      <c r="BC29" s="43">
        <f t="shared" si="11"/>
        <v>0</v>
      </c>
      <c r="BD29" s="43">
        <f t="shared" si="11"/>
        <v>0</v>
      </c>
      <c r="BE29" s="42">
        <f t="shared" si="22"/>
        <v>0</v>
      </c>
      <c r="BF29" s="42">
        <f t="shared" si="12"/>
        <v>0</v>
      </c>
      <c r="BG29" s="42">
        <f t="shared" si="12"/>
        <v>0</v>
      </c>
      <c r="BH29" s="42">
        <f t="shared" si="12"/>
        <v>0</v>
      </c>
      <c r="BI29" s="4"/>
      <c r="BJ29" s="4"/>
      <c r="BK29" s="4"/>
      <c r="BL29" s="4"/>
    </row>
    <row r="30" spans="1:66" x14ac:dyDescent="0.2">
      <c r="A30" s="166" t="s">
        <v>65</v>
      </c>
      <c r="B30" s="7"/>
      <c r="C30" s="7"/>
      <c r="D30" s="7"/>
      <c r="E30" s="7"/>
      <c r="F30" s="32"/>
      <c r="G30" s="6"/>
      <c r="H30" s="7"/>
      <c r="I30" s="8"/>
      <c r="J30" s="8"/>
      <c r="K30" s="8"/>
      <c r="L30" s="7"/>
      <c r="M30" s="7"/>
      <c r="N30" s="47"/>
      <c r="O30" s="78"/>
      <c r="P30" s="78"/>
      <c r="Q30" s="41">
        <f t="shared" si="23"/>
        <v>0</v>
      </c>
      <c r="R30" s="41">
        <f t="shared" si="2"/>
        <v>0</v>
      </c>
      <c r="S30" s="41">
        <f t="shared" si="2"/>
        <v>0</v>
      </c>
      <c r="T30" s="41">
        <f t="shared" si="2"/>
        <v>0</v>
      </c>
      <c r="U30" s="41">
        <f t="shared" si="13"/>
        <v>0</v>
      </c>
      <c r="V30" s="41">
        <f t="shared" si="3"/>
        <v>0</v>
      </c>
      <c r="W30" s="41">
        <f t="shared" si="3"/>
        <v>0</v>
      </c>
      <c r="X30" s="41">
        <f t="shared" si="3"/>
        <v>0</v>
      </c>
      <c r="Y30" s="41">
        <f t="shared" si="14"/>
        <v>0</v>
      </c>
      <c r="Z30" s="41">
        <f t="shared" si="4"/>
        <v>0</v>
      </c>
      <c r="AA30" s="41">
        <f t="shared" si="4"/>
        <v>0</v>
      </c>
      <c r="AB30" s="41">
        <f t="shared" si="4"/>
        <v>0</v>
      </c>
      <c r="AC30" s="41">
        <f t="shared" si="15"/>
        <v>0</v>
      </c>
      <c r="AD30" s="41">
        <f t="shared" si="5"/>
        <v>0</v>
      </c>
      <c r="AE30" s="41">
        <f t="shared" si="5"/>
        <v>0</v>
      </c>
      <c r="AF30" s="41">
        <f t="shared" si="5"/>
        <v>0</v>
      </c>
      <c r="AG30" s="41">
        <f t="shared" si="16"/>
        <v>0</v>
      </c>
      <c r="AH30" s="41">
        <f t="shared" si="6"/>
        <v>0</v>
      </c>
      <c r="AI30" s="41">
        <f t="shared" si="6"/>
        <v>0</v>
      </c>
      <c r="AJ30" s="41">
        <f t="shared" si="6"/>
        <v>0</v>
      </c>
      <c r="AK30" s="41">
        <f t="shared" si="17"/>
        <v>0</v>
      </c>
      <c r="AL30" s="41">
        <f t="shared" si="7"/>
        <v>0</v>
      </c>
      <c r="AM30" s="41">
        <f t="shared" si="7"/>
        <v>0</v>
      </c>
      <c r="AN30" s="41">
        <f t="shared" si="7"/>
        <v>0</v>
      </c>
      <c r="AO30" s="41">
        <f t="shared" si="18"/>
        <v>0</v>
      </c>
      <c r="AP30" s="41">
        <f t="shared" si="8"/>
        <v>0</v>
      </c>
      <c r="AQ30" s="41">
        <f t="shared" si="8"/>
        <v>0</v>
      </c>
      <c r="AR30" s="41">
        <f t="shared" si="8"/>
        <v>0</v>
      </c>
      <c r="AS30" s="41">
        <f t="shared" si="19"/>
        <v>0</v>
      </c>
      <c r="AT30" s="41">
        <f t="shared" si="9"/>
        <v>0</v>
      </c>
      <c r="AU30" s="41">
        <f t="shared" si="9"/>
        <v>0</v>
      </c>
      <c r="AV30" s="41">
        <f t="shared" si="9"/>
        <v>0</v>
      </c>
      <c r="AW30" s="43">
        <f t="shared" si="20"/>
        <v>0</v>
      </c>
      <c r="AX30" s="43">
        <f t="shared" si="10"/>
        <v>0</v>
      </c>
      <c r="AY30" s="43">
        <f t="shared" si="10"/>
        <v>0</v>
      </c>
      <c r="AZ30" s="43">
        <f t="shared" si="10"/>
        <v>0</v>
      </c>
      <c r="BA30" s="43">
        <f t="shared" si="21"/>
        <v>0</v>
      </c>
      <c r="BB30" s="43">
        <f t="shared" si="11"/>
        <v>0</v>
      </c>
      <c r="BC30" s="43">
        <f t="shared" si="11"/>
        <v>0</v>
      </c>
      <c r="BD30" s="43">
        <f t="shared" si="11"/>
        <v>0</v>
      </c>
      <c r="BE30" s="42">
        <f t="shared" si="22"/>
        <v>0</v>
      </c>
      <c r="BF30" s="42">
        <f t="shared" si="12"/>
        <v>0</v>
      </c>
      <c r="BG30" s="42">
        <f t="shared" si="12"/>
        <v>0</v>
      </c>
      <c r="BH30" s="42">
        <f t="shared" si="12"/>
        <v>0</v>
      </c>
    </row>
    <row r="31" spans="1:66" x14ac:dyDescent="0.2">
      <c r="A31" s="166" t="s">
        <v>66</v>
      </c>
      <c r="B31" s="7">
        <v>1</v>
      </c>
      <c r="C31" s="7">
        <v>1</v>
      </c>
      <c r="D31" s="7">
        <v>1</v>
      </c>
      <c r="E31" s="7">
        <v>1</v>
      </c>
      <c r="F31" s="32">
        <v>0.98</v>
      </c>
      <c r="G31" s="6">
        <v>0</v>
      </c>
      <c r="H31" s="7">
        <v>0</v>
      </c>
      <c r="I31" s="8">
        <v>0</v>
      </c>
      <c r="J31" s="8">
        <v>0</v>
      </c>
      <c r="K31" s="8">
        <v>0</v>
      </c>
      <c r="L31" s="7">
        <v>149</v>
      </c>
      <c r="M31" s="7">
        <v>66.3</v>
      </c>
      <c r="N31" s="47">
        <v>650</v>
      </c>
      <c r="O31" s="78">
        <v>1</v>
      </c>
      <c r="P31" s="78">
        <v>0</v>
      </c>
      <c r="Q31" s="41">
        <f t="shared" si="23"/>
        <v>0.98</v>
      </c>
      <c r="R31" s="41">
        <f t="shared" si="2"/>
        <v>0.98</v>
      </c>
      <c r="S31" s="41">
        <f t="shared" si="2"/>
        <v>0.98</v>
      </c>
      <c r="T31" s="41">
        <f t="shared" si="2"/>
        <v>0.98</v>
      </c>
      <c r="U31" s="41">
        <f t="shared" si="13"/>
        <v>0</v>
      </c>
      <c r="V31" s="41">
        <f t="shared" si="3"/>
        <v>0</v>
      </c>
      <c r="W31" s="41">
        <f t="shared" si="3"/>
        <v>0</v>
      </c>
      <c r="X31" s="41">
        <f t="shared" si="3"/>
        <v>0</v>
      </c>
      <c r="Y31" s="41">
        <f t="shared" si="14"/>
        <v>0</v>
      </c>
      <c r="Z31" s="41">
        <f t="shared" si="4"/>
        <v>0</v>
      </c>
      <c r="AA31" s="41">
        <f t="shared" si="4"/>
        <v>0</v>
      </c>
      <c r="AB31" s="41">
        <f t="shared" si="4"/>
        <v>0</v>
      </c>
      <c r="AC31" s="41">
        <f t="shared" si="15"/>
        <v>0</v>
      </c>
      <c r="AD31" s="41">
        <f t="shared" si="5"/>
        <v>0</v>
      </c>
      <c r="AE31" s="41">
        <f t="shared" si="5"/>
        <v>0</v>
      </c>
      <c r="AF31" s="41">
        <f t="shared" si="5"/>
        <v>0</v>
      </c>
      <c r="AG31" s="41">
        <f t="shared" si="16"/>
        <v>0</v>
      </c>
      <c r="AH31" s="41">
        <f t="shared" si="6"/>
        <v>0</v>
      </c>
      <c r="AI31" s="41">
        <f t="shared" si="6"/>
        <v>0</v>
      </c>
      <c r="AJ31" s="41">
        <f t="shared" si="6"/>
        <v>0</v>
      </c>
      <c r="AK31" s="41">
        <f t="shared" si="17"/>
        <v>0</v>
      </c>
      <c r="AL31" s="41">
        <f t="shared" si="7"/>
        <v>0</v>
      </c>
      <c r="AM31" s="41">
        <f t="shared" si="7"/>
        <v>0</v>
      </c>
      <c r="AN31" s="41">
        <f t="shared" si="7"/>
        <v>0</v>
      </c>
      <c r="AO31" s="41">
        <f t="shared" si="18"/>
        <v>146.02000000000001</v>
      </c>
      <c r="AP31" s="41">
        <f t="shared" si="8"/>
        <v>146.02000000000001</v>
      </c>
      <c r="AQ31" s="41">
        <f t="shared" si="8"/>
        <v>146.02000000000001</v>
      </c>
      <c r="AR31" s="41">
        <f t="shared" si="8"/>
        <v>146.02000000000001</v>
      </c>
      <c r="AS31" s="41">
        <f t="shared" si="19"/>
        <v>64.97399999999999</v>
      </c>
      <c r="AT31" s="41">
        <f t="shared" si="9"/>
        <v>64.97399999999999</v>
      </c>
      <c r="AU31" s="41">
        <f t="shared" si="9"/>
        <v>64.97399999999999</v>
      </c>
      <c r="AV31" s="41">
        <f t="shared" si="9"/>
        <v>64.97399999999999</v>
      </c>
      <c r="AW31" s="43">
        <f t="shared" si="20"/>
        <v>6.5</v>
      </c>
      <c r="AX31" s="43">
        <f t="shared" si="10"/>
        <v>6.5</v>
      </c>
      <c r="AY31" s="43">
        <f t="shared" si="10"/>
        <v>6.5</v>
      </c>
      <c r="AZ31" s="43">
        <f t="shared" si="10"/>
        <v>6.5</v>
      </c>
      <c r="BA31" s="43">
        <f t="shared" si="21"/>
        <v>0</v>
      </c>
      <c r="BB31" s="43">
        <f t="shared" si="11"/>
        <v>0</v>
      </c>
      <c r="BC31" s="43">
        <f t="shared" si="11"/>
        <v>0</v>
      </c>
      <c r="BD31" s="43">
        <f t="shared" si="11"/>
        <v>0</v>
      </c>
      <c r="BE31" s="42">
        <f t="shared" si="22"/>
        <v>0</v>
      </c>
      <c r="BF31" s="42">
        <f t="shared" si="12"/>
        <v>0</v>
      </c>
      <c r="BG31" s="42">
        <f t="shared" si="12"/>
        <v>0</v>
      </c>
      <c r="BH31" s="42">
        <f t="shared" si="12"/>
        <v>0</v>
      </c>
      <c r="BI31" s="4"/>
      <c r="BJ31" s="4"/>
      <c r="BK31" s="4"/>
      <c r="BL31" s="4"/>
    </row>
    <row r="32" spans="1:66" x14ac:dyDescent="0.2">
      <c r="A32" s="166" t="s">
        <v>65</v>
      </c>
      <c r="B32" s="7"/>
      <c r="C32" s="7"/>
      <c r="D32" s="7"/>
      <c r="E32" s="7"/>
      <c r="F32" s="8"/>
      <c r="G32" s="6"/>
      <c r="H32" s="7"/>
      <c r="I32" s="8"/>
      <c r="J32" s="9"/>
      <c r="K32" s="9"/>
      <c r="L32" s="7"/>
      <c r="M32" s="7"/>
      <c r="N32" s="48"/>
      <c r="O32" s="78"/>
      <c r="P32" s="78"/>
      <c r="Q32" s="41">
        <f t="shared" si="23"/>
        <v>0</v>
      </c>
      <c r="R32" s="41">
        <f t="shared" si="2"/>
        <v>0</v>
      </c>
      <c r="S32" s="41">
        <f t="shared" si="2"/>
        <v>0</v>
      </c>
      <c r="T32" s="41">
        <f t="shared" si="2"/>
        <v>0</v>
      </c>
      <c r="U32" s="41">
        <f t="shared" si="13"/>
        <v>0</v>
      </c>
      <c r="V32" s="41">
        <f t="shared" si="3"/>
        <v>0</v>
      </c>
      <c r="W32" s="41">
        <f t="shared" si="3"/>
        <v>0</v>
      </c>
      <c r="X32" s="41">
        <f t="shared" si="3"/>
        <v>0</v>
      </c>
      <c r="Y32" s="41">
        <f t="shared" si="14"/>
        <v>0</v>
      </c>
      <c r="Z32" s="41">
        <f t="shared" si="4"/>
        <v>0</v>
      </c>
      <c r="AA32" s="41">
        <f t="shared" si="4"/>
        <v>0</v>
      </c>
      <c r="AB32" s="41">
        <f t="shared" si="4"/>
        <v>0</v>
      </c>
      <c r="AC32" s="41">
        <f t="shared" si="15"/>
        <v>0</v>
      </c>
      <c r="AD32" s="41">
        <f t="shared" si="5"/>
        <v>0</v>
      </c>
      <c r="AE32" s="41">
        <f t="shared" si="5"/>
        <v>0</v>
      </c>
      <c r="AF32" s="41">
        <f t="shared" si="5"/>
        <v>0</v>
      </c>
      <c r="AG32" s="41">
        <f t="shared" si="16"/>
        <v>0</v>
      </c>
      <c r="AH32" s="41">
        <f t="shared" si="6"/>
        <v>0</v>
      </c>
      <c r="AI32" s="41">
        <f t="shared" si="6"/>
        <v>0</v>
      </c>
      <c r="AJ32" s="41">
        <f t="shared" si="6"/>
        <v>0</v>
      </c>
      <c r="AK32" s="41">
        <f t="shared" si="17"/>
        <v>0</v>
      </c>
      <c r="AL32" s="41">
        <f t="shared" si="7"/>
        <v>0</v>
      </c>
      <c r="AM32" s="41">
        <f t="shared" si="7"/>
        <v>0</v>
      </c>
      <c r="AN32" s="41">
        <f t="shared" si="7"/>
        <v>0</v>
      </c>
      <c r="AO32" s="41">
        <f t="shared" si="18"/>
        <v>0</v>
      </c>
      <c r="AP32" s="41">
        <f t="shared" si="8"/>
        <v>0</v>
      </c>
      <c r="AQ32" s="41">
        <f t="shared" si="8"/>
        <v>0</v>
      </c>
      <c r="AR32" s="41">
        <f t="shared" si="8"/>
        <v>0</v>
      </c>
      <c r="AS32" s="41">
        <f t="shared" si="19"/>
        <v>0</v>
      </c>
      <c r="AT32" s="41">
        <f t="shared" si="9"/>
        <v>0</v>
      </c>
      <c r="AU32" s="41">
        <f t="shared" si="9"/>
        <v>0</v>
      </c>
      <c r="AV32" s="41">
        <f t="shared" si="9"/>
        <v>0</v>
      </c>
      <c r="AW32" s="43">
        <f t="shared" si="20"/>
        <v>0</v>
      </c>
      <c r="AX32" s="43">
        <f t="shared" si="10"/>
        <v>0</v>
      </c>
      <c r="AY32" s="43">
        <f t="shared" si="10"/>
        <v>0</v>
      </c>
      <c r="AZ32" s="43">
        <f t="shared" si="10"/>
        <v>0</v>
      </c>
      <c r="BA32" s="43">
        <f t="shared" si="21"/>
        <v>0</v>
      </c>
      <c r="BB32" s="43">
        <f t="shared" si="11"/>
        <v>0</v>
      </c>
      <c r="BC32" s="43">
        <f t="shared" si="11"/>
        <v>0</v>
      </c>
      <c r="BD32" s="43">
        <f t="shared" si="11"/>
        <v>0</v>
      </c>
      <c r="BE32" s="42">
        <f t="shared" si="22"/>
        <v>0</v>
      </c>
      <c r="BF32" s="42">
        <f t="shared" si="12"/>
        <v>0</v>
      </c>
      <c r="BG32" s="42">
        <f t="shared" si="12"/>
        <v>0</v>
      </c>
      <c r="BH32" s="42">
        <f t="shared" si="12"/>
        <v>0</v>
      </c>
      <c r="BI32" s="4"/>
      <c r="BJ32" s="4"/>
      <c r="BK32" s="4"/>
      <c r="BL32" s="4"/>
    </row>
    <row r="33" spans="1:64" x14ac:dyDescent="0.2">
      <c r="A33" s="167" t="s">
        <v>67</v>
      </c>
      <c r="B33" s="168">
        <f>SUM(B22:B31)</f>
        <v>116</v>
      </c>
      <c r="C33" s="168">
        <f>SUM(C22:C31)</f>
        <v>135</v>
      </c>
      <c r="D33" s="168">
        <f>SUM(D22:D31)</f>
        <v>96</v>
      </c>
      <c r="E33" s="168">
        <f>SUM(E22:E31)</f>
        <v>11</v>
      </c>
      <c r="F33" s="8"/>
      <c r="G33" s="6"/>
      <c r="H33" s="7"/>
      <c r="I33" s="8"/>
      <c r="J33" s="9"/>
      <c r="K33" s="9"/>
      <c r="L33" s="7"/>
      <c r="M33" s="7"/>
      <c r="N33" s="48"/>
      <c r="O33" s="49"/>
      <c r="P33" s="49"/>
      <c r="Q33" s="80">
        <f t="shared" ref="Q33:BH33" si="24">SUM(Q22:Q32)</f>
        <v>45.029999999999994</v>
      </c>
      <c r="R33" s="80">
        <f t="shared" si="24"/>
        <v>61.559999999999995</v>
      </c>
      <c r="S33" s="80">
        <f t="shared" si="24"/>
        <v>41.01</v>
      </c>
      <c r="T33" s="80">
        <f t="shared" si="24"/>
        <v>9.68</v>
      </c>
      <c r="U33" s="80">
        <f t="shared" si="24"/>
        <v>13.600000000000001</v>
      </c>
      <c r="V33" s="80">
        <f t="shared" si="24"/>
        <v>13.600000000000001</v>
      </c>
      <c r="W33" s="80">
        <f t="shared" si="24"/>
        <v>13.93</v>
      </c>
      <c r="X33" s="80">
        <f t="shared" si="24"/>
        <v>0</v>
      </c>
      <c r="Y33" s="80">
        <f t="shared" si="24"/>
        <v>529.13</v>
      </c>
      <c r="Z33" s="80">
        <f t="shared" si="24"/>
        <v>744.02</v>
      </c>
      <c r="AA33" s="80">
        <f t="shared" si="24"/>
        <v>479.29399999999998</v>
      </c>
      <c r="AB33" s="80">
        <f t="shared" si="24"/>
        <v>113.1</v>
      </c>
      <c r="AC33" s="80">
        <f t="shared" si="24"/>
        <v>4578.8</v>
      </c>
      <c r="AD33" s="80">
        <f t="shared" si="24"/>
        <v>6562.4</v>
      </c>
      <c r="AE33" s="80">
        <f t="shared" si="24"/>
        <v>3779.96</v>
      </c>
      <c r="AF33" s="80">
        <f t="shared" si="24"/>
        <v>1044</v>
      </c>
      <c r="AG33" s="80">
        <f t="shared" si="24"/>
        <v>8184.4</v>
      </c>
      <c r="AH33" s="80">
        <f t="shared" si="24"/>
        <v>11490.4</v>
      </c>
      <c r="AI33" s="80">
        <f t="shared" si="24"/>
        <v>6505.66</v>
      </c>
      <c r="AJ33" s="80">
        <f t="shared" si="24"/>
        <v>1739.9999999999998</v>
      </c>
      <c r="AK33" s="80">
        <f t="shared" si="24"/>
        <v>17214.599999999999</v>
      </c>
      <c r="AL33" s="80">
        <f t="shared" si="24"/>
        <v>22041.360000000001</v>
      </c>
      <c r="AM33" s="80">
        <f t="shared" si="24"/>
        <v>14810.039999999999</v>
      </c>
      <c r="AN33" s="80">
        <f t="shared" si="24"/>
        <v>2540.3999999999996</v>
      </c>
      <c r="AO33" s="80">
        <f t="shared" si="24"/>
        <v>631.89499999999998</v>
      </c>
      <c r="AP33" s="80">
        <f t="shared" si="24"/>
        <v>855.05</v>
      </c>
      <c r="AQ33" s="80">
        <f t="shared" si="24"/>
        <v>470.41099999999994</v>
      </c>
      <c r="AR33" s="80">
        <f t="shared" si="24"/>
        <v>263.47000000000003</v>
      </c>
      <c r="AS33" s="80">
        <f t="shared" si="24"/>
        <v>310.11399999999998</v>
      </c>
      <c r="AT33" s="80">
        <f t="shared" si="24"/>
        <v>422.51799999999997</v>
      </c>
      <c r="AU33" s="80">
        <f t="shared" si="24"/>
        <v>251.18199999999996</v>
      </c>
      <c r="AV33" s="80">
        <f t="shared" si="24"/>
        <v>124.13399999999999</v>
      </c>
      <c r="AW33" s="81">
        <f t="shared" si="24"/>
        <v>80.3</v>
      </c>
      <c r="AX33" s="81">
        <f t="shared" si="24"/>
        <v>112.97999999999999</v>
      </c>
      <c r="AY33" s="81">
        <f t="shared" si="24"/>
        <v>37.897999999999996</v>
      </c>
      <c r="AZ33" s="81">
        <f t="shared" si="24"/>
        <v>23.7</v>
      </c>
      <c r="BA33" s="82">
        <f t="shared" si="24"/>
        <v>6090</v>
      </c>
      <c r="BB33" s="82">
        <f t="shared" si="24"/>
        <v>9396</v>
      </c>
      <c r="BC33" s="82">
        <f t="shared" si="24"/>
        <v>1739.9999999999998</v>
      </c>
      <c r="BD33" s="82">
        <f t="shared" si="24"/>
        <v>1739.9999999999998</v>
      </c>
      <c r="BE33" s="82">
        <f t="shared" si="24"/>
        <v>0</v>
      </c>
      <c r="BF33" s="82">
        <f t="shared" si="24"/>
        <v>0</v>
      </c>
      <c r="BG33" s="82">
        <f t="shared" si="24"/>
        <v>0</v>
      </c>
      <c r="BH33" s="82">
        <f t="shared" si="24"/>
        <v>0</v>
      </c>
      <c r="BI33" s="4"/>
      <c r="BJ33" s="4"/>
      <c r="BK33" s="4"/>
      <c r="BL33" s="4"/>
    </row>
    <row r="34" spans="1:64" x14ac:dyDescent="0.2">
      <c r="A34" s="130"/>
      <c r="B34" s="118"/>
      <c r="C34" s="118"/>
      <c r="D34" s="118"/>
      <c r="E34" s="118"/>
      <c r="L34" s="19"/>
      <c r="M34" s="19"/>
      <c r="N34" s="19"/>
      <c r="O34" s="19"/>
      <c r="Q34" s="63">
        <f>Q33/B33</f>
        <v>0.38818965517241372</v>
      </c>
      <c r="R34" s="63">
        <f>R33/C33</f>
        <v>0.45599999999999996</v>
      </c>
      <c r="S34" s="63">
        <f>S33/D33</f>
        <v>0.4271875</v>
      </c>
      <c r="T34" s="63">
        <f>T33/E33</f>
        <v>0.88</v>
      </c>
      <c r="U34" s="137">
        <f>U33/Q33</f>
        <v>0.30202087497224078</v>
      </c>
      <c r="V34" s="134">
        <f>V33/R33</f>
        <v>0.22092267706302798</v>
      </c>
      <c r="W34" s="134">
        <f>W33/S33</f>
        <v>0.33967325042672519</v>
      </c>
      <c r="X34" s="134">
        <f>X33/T33</f>
        <v>0</v>
      </c>
      <c r="Y34" s="136">
        <f>Y33/Q33</f>
        <v>11.750610703975129</v>
      </c>
      <c r="Z34" s="64">
        <f>Z33/R33</f>
        <v>12.086094866796621</v>
      </c>
      <c r="AA34" s="64">
        <f>AA33/S33</f>
        <v>11.687247012923677</v>
      </c>
      <c r="AB34" s="64">
        <f>AB33/T33</f>
        <v>11.683884297520661</v>
      </c>
      <c r="AC34" s="136">
        <f>AC33/Q33</f>
        <v>101.68332222962471</v>
      </c>
      <c r="AD34" s="64">
        <f>AD33/R33</f>
        <v>106.60168940870696</v>
      </c>
      <c r="AE34" s="64">
        <f>AE33/S33</f>
        <v>92.171665447451844</v>
      </c>
      <c r="AF34" s="64">
        <f>AF33/T33</f>
        <v>107.85123966942149</v>
      </c>
      <c r="AG34" s="136">
        <f>AG33/Q33</f>
        <v>181.7543859649123</v>
      </c>
      <c r="AH34" s="136">
        <f>AH33/R33</f>
        <v>186.65367121507472</v>
      </c>
      <c r="AI34" s="136">
        <f>AI33/S33</f>
        <v>158.63594245306024</v>
      </c>
      <c r="AJ34" s="136">
        <f>AJ33/T33</f>
        <v>179.75206611570246</v>
      </c>
      <c r="AK34" s="64">
        <f>AK33/Q33</f>
        <v>382.29180546302467</v>
      </c>
      <c r="AL34" s="64">
        <f>AL33/R33</f>
        <v>358.04678362573105</v>
      </c>
      <c r="AM34" s="64">
        <f>AM33/S33</f>
        <v>361.13240673006584</v>
      </c>
      <c r="AN34" s="64">
        <f>AN33/T33</f>
        <v>262.43801652892557</v>
      </c>
      <c r="AO34" s="64">
        <f>AO33/Q33</f>
        <v>14.032755940484122</v>
      </c>
      <c r="AP34" s="64">
        <f>AP33/R33</f>
        <v>13.889701104613385</v>
      </c>
      <c r="AQ34" s="64">
        <f>AQ33/S33</f>
        <v>11.470641306998292</v>
      </c>
      <c r="AR34" s="64">
        <f>AR33/T33</f>
        <v>27.217975206611573</v>
      </c>
      <c r="AS34" s="64">
        <f>AS33/Q33</f>
        <v>6.88683100155452</v>
      </c>
      <c r="AT34" s="64">
        <f>AT33/R33</f>
        <v>6.863515269655621</v>
      </c>
      <c r="AU34" s="64">
        <f>AU33/S33</f>
        <v>6.1248963667398186</v>
      </c>
      <c r="AV34" s="64">
        <f>AV33/T33</f>
        <v>12.823760330578512</v>
      </c>
      <c r="AW34" s="65">
        <f>AW33/Q33</f>
        <v>1.7832556073728627</v>
      </c>
      <c r="AX34" s="65">
        <f>AX33/R33</f>
        <v>1.8352826510721247</v>
      </c>
      <c r="AY34" s="65">
        <f>AY33/S33</f>
        <v>0.92411606925140199</v>
      </c>
      <c r="AZ34" s="65">
        <f>AZ33/T33</f>
        <v>2.4483471074380163</v>
      </c>
      <c r="BA34" s="64">
        <f>BA33/Q33</f>
        <v>135.24317121918722</v>
      </c>
      <c r="BB34" s="64">
        <f>BB33/R33</f>
        <v>152.63157894736844</v>
      </c>
      <c r="BC34" s="64">
        <f>BC33/S33</f>
        <v>42.428675932699335</v>
      </c>
      <c r="BD34" s="64">
        <f>BD33/T33</f>
        <v>179.75206611570246</v>
      </c>
      <c r="BE34" s="64">
        <f>BE33/Q33</f>
        <v>0</v>
      </c>
      <c r="BF34" s="64">
        <f>BF33/R33</f>
        <v>0</v>
      </c>
      <c r="BG34" s="64">
        <f>BG33/S33</f>
        <v>0</v>
      </c>
      <c r="BH34" s="64">
        <f>BH33/T33</f>
        <v>0</v>
      </c>
      <c r="BI34" s="4"/>
    </row>
    <row r="35" spans="1:64" ht="15.75" x14ac:dyDescent="0.25">
      <c r="A35" s="131"/>
      <c r="B35" s="118"/>
      <c r="C35" s="118"/>
      <c r="D35" s="118"/>
      <c r="E35" s="118"/>
      <c r="P35" s="15"/>
      <c r="Q35" s="133" t="s">
        <v>68</v>
      </c>
      <c r="R35" s="211"/>
      <c r="S35" s="211"/>
      <c r="T35" s="211"/>
      <c r="U35" s="21" t="s">
        <v>69</v>
      </c>
      <c r="V35" s="21"/>
      <c r="W35" s="21"/>
      <c r="X35" s="21"/>
      <c r="Y35" s="79" t="s">
        <v>70</v>
      </c>
      <c r="Z35" s="79"/>
      <c r="AA35" s="79"/>
      <c r="AB35" s="79"/>
      <c r="AC35" s="135" t="s">
        <v>71</v>
      </c>
      <c r="AD35" s="135"/>
      <c r="AE35" s="135"/>
      <c r="AF35" s="135"/>
      <c r="AG35" s="66">
        <f t="shared" ref="AG35:AV35" si="25">AG34/1000</f>
        <v>0.18175438596491231</v>
      </c>
      <c r="AH35" s="66">
        <f t="shared" si="25"/>
        <v>0.18665367121507473</v>
      </c>
      <c r="AI35" s="66">
        <f t="shared" si="25"/>
        <v>0.15863594245306023</v>
      </c>
      <c r="AJ35" s="66">
        <f t="shared" si="25"/>
        <v>0.17975206611570246</v>
      </c>
      <c r="AK35" s="66">
        <f t="shared" si="25"/>
        <v>0.38229180546302466</v>
      </c>
      <c r="AL35" s="66">
        <f t="shared" si="25"/>
        <v>0.35804678362573106</v>
      </c>
      <c r="AM35" s="66">
        <f t="shared" si="25"/>
        <v>0.36113240673006586</v>
      </c>
      <c r="AN35" s="66">
        <f t="shared" si="25"/>
        <v>0.26243801652892557</v>
      </c>
      <c r="AO35" s="66">
        <f t="shared" si="25"/>
        <v>1.4032755940484122E-2</v>
      </c>
      <c r="AP35" s="66">
        <f t="shared" si="25"/>
        <v>1.3889701104613385E-2</v>
      </c>
      <c r="AQ35" s="66">
        <f t="shared" si="25"/>
        <v>1.1470641306998292E-2</v>
      </c>
      <c r="AR35" s="66">
        <f t="shared" si="25"/>
        <v>2.7217975206611573E-2</v>
      </c>
      <c r="AS35" s="66">
        <f t="shared" si="25"/>
        <v>6.8868310015545199E-3</v>
      </c>
      <c r="AT35" s="66">
        <f t="shared" si="25"/>
        <v>6.8635152696556213E-3</v>
      </c>
      <c r="AU35" s="66">
        <f t="shared" si="25"/>
        <v>6.1248963667398185E-3</v>
      </c>
      <c r="AV35" s="66">
        <f t="shared" si="25"/>
        <v>1.2823760330578513E-2</v>
      </c>
      <c r="AW35" s="22"/>
      <c r="AX35" s="22"/>
      <c r="AY35" s="22"/>
      <c r="AZ35" s="22"/>
      <c r="BA35" s="66">
        <f>BA34/1000</f>
        <v>0.13524317121918722</v>
      </c>
      <c r="BB35" s="66">
        <f>BB34/1000</f>
        <v>0.15263157894736845</v>
      </c>
      <c r="BC35" s="66">
        <f>BC34/1000</f>
        <v>4.2428675932699333E-2</v>
      </c>
      <c r="BD35" s="66">
        <f>BD34/1000</f>
        <v>0.17975206611570246</v>
      </c>
      <c r="BE35" s="70"/>
    </row>
    <row r="36" spans="1:64" x14ac:dyDescent="0.2">
      <c r="Q36" s="211"/>
      <c r="R36" s="21"/>
      <c r="S36" s="2"/>
      <c r="T36" s="2"/>
      <c r="U36" s="2"/>
      <c r="V36" s="2"/>
      <c r="W36" s="2"/>
      <c r="X36" s="2"/>
      <c r="Z36" s="70"/>
      <c r="AA36" s="70"/>
      <c r="AB36" s="70"/>
    </row>
    <row r="37" spans="1:64" ht="26.25" x14ac:dyDescent="0.4">
      <c r="A37" s="10" t="str">
        <f>A2</f>
        <v>ENDAGARSFODERSTATSKONTROLL</v>
      </c>
      <c r="L37" s="19"/>
      <c r="M37" s="19"/>
      <c r="N37" s="19"/>
      <c r="O37" s="19"/>
      <c r="P37" s="19"/>
      <c r="U37" s="2"/>
      <c r="V37" s="2"/>
      <c r="W37" s="3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64" ht="26.25" x14ac:dyDescent="0.4">
      <c r="A38" s="10"/>
      <c r="L38" s="19"/>
      <c r="M38" s="19"/>
      <c r="N38" s="19"/>
      <c r="O38" s="19"/>
      <c r="S38" s="13"/>
      <c r="T38" s="11" t="s">
        <v>72</v>
      </c>
      <c r="U38" s="11" t="s">
        <v>73</v>
      </c>
      <c r="V38" s="11" t="s">
        <v>74</v>
      </c>
      <c r="W38" s="3"/>
      <c r="X38" s="13" t="s">
        <v>75</v>
      </c>
      <c r="Y38" s="44" t="s">
        <v>76</v>
      </c>
      <c r="Z38" s="44" t="s">
        <v>77</v>
      </c>
      <c r="AB38" s="4"/>
      <c r="AC38" s="4"/>
      <c r="AD38" s="4"/>
      <c r="AE38" s="4"/>
    </row>
    <row r="39" spans="1:64" x14ac:dyDescent="0.2">
      <c r="A39" s="1" t="s">
        <v>78</v>
      </c>
      <c r="B39" s="1">
        <f>B5</f>
        <v>0</v>
      </c>
      <c r="C39" s="1"/>
      <c r="D39" s="1"/>
      <c r="E39" s="1"/>
      <c r="L39" s="5"/>
      <c r="M39" s="5"/>
      <c r="N39" s="5"/>
      <c r="O39" s="5"/>
      <c r="S39" s="2"/>
      <c r="T39" s="21">
        <v>50</v>
      </c>
      <c r="U39" s="21">
        <v>16.100000000000001</v>
      </c>
      <c r="V39" s="11">
        <v>7.5</v>
      </c>
      <c r="W39" s="2"/>
      <c r="X39" s="68" t="s">
        <v>79</v>
      </c>
      <c r="Y39" s="67" t="s">
        <v>80</v>
      </c>
      <c r="Z39" s="67" t="s">
        <v>81</v>
      </c>
      <c r="AB39" s="4"/>
      <c r="AC39" s="4"/>
      <c r="AD39" s="4"/>
      <c r="AE39" s="4"/>
    </row>
    <row r="40" spans="1:64" x14ac:dyDescent="0.2">
      <c r="A40" s="1" t="s">
        <v>82</v>
      </c>
      <c r="B40" s="158">
        <f>F4</f>
        <v>38625</v>
      </c>
      <c r="C40" s="1"/>
      <c r="D40" s="1"/>
      <c r="E40" s="1"/>
      <c r="L40" s="5"/>
      <c r="M40" s="5"/>
      <c r="N40" s="5"/>
      <c r="O40" s="5"/>
      <c r="P40" s="5"/>
      <c r="S40" s="67"/>
      <c r="T40" s="21">
        <v>75</v>
      </c>
      <c r="U40" s="21">
        <v>14.6</v>
      </c>
      <c r="V40" s="11">
        <v>7.5</v>
      </c>
      <c r="X40" s="1">
        <v>100</v>
      </c>
      <c r="Y40" s="11">
        <v>27</v>
      </c>
      <c r="Z40" s="11">
        <v>13</v>
      </c>
      <c r="AA40" s="69"/>
      <c r="AB40" s="4"/>
      <c r="AC40" s="4"/>
      <c r="AD40" s="4"/>
      <c r="AE40" s="4"/>
    </row>
    <row r="41" spans="1:64" x14ac:dyDescent="0.2">
      <c r="B41" s="129"/>
      <c r="C41" s="1"/>
      <c r="D41" s="1"/>
      <c r="E41" s="1"/>
      <c r="L41" s="5"/>
      <c r="M41" s="5"/>
      <c r="N41" s="5"/>
      <c r="O41" s="5"/>
      <c r="S41" s="11"/>
      <c r="T41" s="21">
        <v>100</v>
      </c>
      <c r="U41" s="21">
        <v>14.6</v>
      </c>
      <c r="V41" s="21">
        <v>7.5</v>
      </c>
      <c r="W41" s="2"/>
      <c r="X41" s="1">
        <v>200</v>
      </c>
      <c r="Y41" s="11">
        <v>30</v>
      </c>
      <c r="Z41" s="11">
        <v>15</v>
      </c>
      <c r="AA41" s="69"/>
      <c r="AB41" s="4"/>
      <c r="AC41" s="4"/>
      <c r="AD41" s="4"/>
      <c r="AE41" s="4"/>
    </row>
    <row r="42" spans="1:64" x14ac:dyDescent="0.2">
      <c r="B42" s="1"/>
      <c r="C42" s="1"/>
      <c r="D42" s="1"/>
      <c r="E42" s="1"/>
      <c r="L42" s="5"/>
      <c r="M42" s="5"/>
      <c r="N42" s="5"/>
      <c r="O42" s="5"/>
      <c r="S42" s="11"/>
      <c r="T42" s="21">
        <v>125</v>
      </c>
      <c r="U42" s="21">
        <v>13.1</v>
      </c>
      <c r="V42" s="21">
        <v>7.25</v>
      </c>
      <c r="W42" s="2"/>
      <c r="X42" s="2">
        <v>300</v>
      </c>
      <c r="Y42" s="21">
        <v>33</v>
      </c>
      <c r="Z42" s="21">
        <v>20</v>
      </c>
      <c r="AA42" s="69"/>
      <c r="AB42" s="4"/>
      <c r="AC42" s="4"/>
      <c r="AD42" s="4"/>
      <c r="AE42" s="4"/>
    </row>
    <row r="43" spans="1:64" ht="15.75" x14ac:dyDescent="0.25">
      <c r="B43" s="127" t="s">
        <v>19</v>
      </c>
      <c r="C43" s="107" t="s">
        <v>20</v>
      </c>
      <c r="D43" s="127" t="s">
        <v>24</v>
      </c>
      <c r="E43" s="107" t="s">
        <v>25</v>
      </c>
      <c r="F43" s="128" t="s">
        <v>83</v>
      </c>
      <c r="K43" s="127" t="s">
        <v>19</v>
      </c>
      <c r="L43" s="107" t="s">
        <v>20</v>
      </c>
      <c r="M43" s="127" t="s">
        <v>24</v>
      </c>
      <c r="N43" s="107" t="s">
        <v>25</v>
      </c>
      <c r="O43" s="128" t="s">
        <v>83</v>
      </c>
      <c r="S43" s="11"/>
      <c r="T43" s="21">
        <v>150</v>
      </c>
      <c r="U43" s="21">
        <v>13.1</v>
      </c>
      <c r="V43" s="21">
        <v>7.25</v>
      </c>
      <c r="W43" s="2"/>
      <c r="X43" s="2">
        <v>400</v>
      </c>
      <c r="Y43" s="21">
        <v>37</v>
      </c>
      <c r="Z43" s="21">
        <v>29</v>
      </c>
      <c r="AA43" s="69"/>
      <c r="AB43" s="4"/>
      <c r="AC43" s="4"/>
      <c r="AD43" s="4"/>
      <c r="AE43" s="4"/>
    </row>
    <row r="44" spans="1:64" ht="15.75" x14ac:dyDescent="0.25">
      <c r="A44" s="108" t="s">
        <v>84</v>
      </c>
      <c r="B44" s="51"/>
      <c r="C44" s="11"/>
      <c r="D44" s="11"/>
      <c r="E44" s="11"/>
      <c r="F44" s="38"/>
      <c r="H44" s="122" t="s">
        <v>85</v>
      </c>
      <c r="M44" s="112"/>
      <c r="N44" s="112"/>
      <c r="S44" s="11"/>
      <c r="T44" s="21">
        <v>175</v>
      </c>
      <c r="U44" s="21">
        <v>12.4</v>
      </c>
      <c r="V44" s="21">
        <v>7</v>
      </c>
      <c r="W44" s="2"/>
      <c r="X44" s="2">
        <v>500</v>
      </c>
      <c r="Y44" s="21">
        <v>40</v>
      </c>
      <c r="Z44" s="21">
        <v>33</v>
      </c>
      <c r="AA44" s="69"/>
      <c r="AB44" s="4"/>
      <c r="AC44" s="4"/>
      <c r="AD44" s="4"/>
      <c r="AE44" s="4"/>
    </row>
    <row r="45" spans="1:64" x14ac:dyDescent="0.2">
      <c r="A45" s="1" t="s">
        <v>86</v>
      </c>
      <c r="B45" s="118">
        <f>Q33/B10</f>
        <v>9.0059999999999985</v>
      </c>
      <c r="C45" s="118">
        <f>R33/C10</f>
        <v>12.311999999999999</v>
      </c>
      <c r="D45" s="118">
        <f>S33/D10</f>
        <v>8.202</v>
      </c>
      <c r="E45" s="118" t="e">
        <f>T33/E10</f>
        <v>#DIV/0!</v>
      </c>
      <c r="F45" s="143"/>
      <c r="G45" s="15"/>
      <c r="H45" s="15" t="s">
        <v>87</v>
      </c>
      <c r="K45" s="117">
        <f>AO33/AS33</f>
        <v>2.0376216488130172</v>
      </c>
      <c r="L45" s="117">
        <f>AP33/AT33</f>
        <v>2.0237007654111778</v>
      </c>
      <c r="M45" s="117">
        <f>AQ33/AU33</f>
        <v>1.8727894514734338</v>
      </c>
      <c r="N45" s="117">
        <f>AR33/AV33</f>
        <v>2.1224644335959533</v>
      </c>
      <c r="O45" s="155"/>
      <c r="S45" s="2"/>
      <c r="T45" s="21">
        <v>200</v>
      </c>
      <c r="U45" s="21">
        <v>12.4</v>
      </c>
      <c r="V45" s="21">
        <v>7</v>
      </c>
      <c r="W45" s="4"/>
      <c r="X45" s="2">
        <v>600</v>
      </c>
      <c r="Y45" s="21">
        <v>44</v>
      </c>
      <c r="Z45" s="21">
        <v>36</v>
      </c>
      <c r="AA45" s="2"/>
    </row>
    <row r="46" spans="1:64" x14ac:dyDescent="0.2">
      <c r="A46" s="1" t="s">
        <v>88</v>
      </c>
      <c r="B46" s="120">
        <f>B45/B11</f>
        <v>2.5731428571428568E-2</v>
      </c>
      <c r="C46" s="120">
        <f>C45/C11</f>
        <v>3.5177142857142858E-2</v>
      </c>
      <c r="D46" s="120">
        <f>D45/D11</f>
        <v>2.3434285714285713E-2</v>
      </c>
      <c r="E46" s="120" t="e">
        <f>E45/E11</f>
        <v>#DIV/0!</v>
      </c>
      <c r="F46" s="144" t="s">
        <v>89</v>
      </c>
      <c r="G46" s="15"/>
      <c r="H46" s="119" t="s">
        <v>90</v>
      </c>
      <c r="K46" s="5">
        <f>AO33/B10-W15</f>
        <v>93.378999999999991</v>
      </c>
      <c r="L46" s="5">
        <f>AP33/C10-W16</f>
        <v>138.01</v>
      </c>
      <c r="M46" s="5">
        <f>AQ33/D10-X17</f>
        <v>74.082199999999986</v>
      </c>
      <c r="N46" s="5" t="e">
        <f>AR33/E10-W18</f>
        <v>#DIV/0!</v>
      </c>
      <c r="O46" s="155"/>
      <c r="Q46" s="25"/>
      <c r="R46" s="21"/>
      <c r="S46" s="2"/>
      <c r="T46" s="21">
        <v>225</v>
      </c>
      <c r="U46" s="21">
        <v>11.6</v>
      </c>
      <c r="V46" s="21">
        <v>6.75</v>
      </c>
      <c r="W46" s="4"/>
      <c r="X46" s="2"/>
      <c r="Y46" s="2"/>
      <c r="Z46" s="2"/>
      <c r="AA46" s="2"/>
    </row>
    <row r="47" spans="1:64" x14ac:dyDescent="0.2">
      <c r="A47" s="5" t="s">
        <v>91</v>
      </c>
      <c r="B47" s="118">
        <f>U33/B10</f>
        <v>2.72</v>
      </c>
      <c r="C47" s="118">
        <f>V33/C10</f>
        <v>2.72</v>
      </c>
      <c r="D47" s="118">
        <f>W33/D10</f>
        <v>2.786</v>
      </c>
      <c r="E47" s="118" t="e">
        <f>X33/E10</f>
        <v>#DIV/0!</v>
      </c>
      <c r="F47" s="145"/>
      <c r="G47" s="15"/>
      <c r="H47" s="119" t="s">
        <v>92</v>
      </c>
      <c r="K47" s="5">
        <f>AS33/B10-X15</f>
        <v>42.022799999999997</v>
      </c>
      <c r="L47" s="5">
        <f>AT33/C10-X16</f>
        <v>64.503599999999992</v>
      </c>
      <c r="M47" s="5">
        <f>AU33/D10-X17</f>
        <v>30.236399999999989</v>
      </c>
      <c r="N47" s="5" t="e">
        <f>AV33/E10-X18</f>
        <v>#DIV/0!</v>
      </c>
      <c r="O47" s="155"/>
      <c r="R47" s="21"/>
      <c r="S47" s="24"/>
      <c r="T47" s="21">
        <v>250</v>
      </c>
      <c r="U47" s="21">
        <v>11.6</v>
      </c>
      <c r="V47" s="21">
        <v>6.75</v>
      </c>
      <c r="W47" s="4"/>
      <c r="X47" s="2"/>
      <c r="Y47" s="2"/>
      <c r="Z47" s="2"/>
      <c r="AA47" s="2"/>
    </row>
    <row r="48" spans="1:64" x14ac:dyDescent="0.2">
      <c r="A48" s="5" t="s">
        <v>93</v>
      </c>
      <c r="B48" s="118">
        <f>B45-B47</f>
        <v>6.2859999999999978</v>
      </c>
      <c r="C48" s="118">
        <f>C45-C47</f>
        <v>9.5919999999999987</v>
      </c>
      <c r="D48" s="118">
        <f>D45-D47</f>
        <v>5.4160000000000004</v>
      </c>
      <c r="E48" s="118" t="e">
        <f>E45-E47</f>
        <v>#DIV/0!</v>
      </c>
      <c r="F48" s="144"/>
      <c r="G48" s="15"/>
      <c r="H48" s="15" t="s">
        <v>94</v>
      </c>
      <c r="K48" s="139">
        <f>AO33/Q33/1000</f>
        <v>1.4032755940484122E-2</v>
      </c>
      <c r="L48" s="139">
        <f>AP33/R33/1000</f>
        <v>1.3889701104613385E-2</v>
      </c>
      <c r="M48" s="139">
        <f>AQ33/S33/1000</f>
        <v>1.1470641306998292E-2</v>
      </c>
      <c r="N48" s="139">
        <f>AR33/T33/1000</f>
        <v>2.7217975206611573E-2</v>
      </c>
      <c r="O48" s="150"/>
      <c r="R48" s="21"/>
      <c r="S48" s="23"/>
      <c r="T48" s="21">
        <v>275</v>
      </c>
      <c r="U48" s="21">
        <v>11.2</v>
      </c>
      <c r="V48" s="21">
        <v>6.5</v>
      </c>
      <c r="W48" s="4"/>
      <c r="X48" s="2"/>
      <c r="Y48" s="2"/>
      <c r="Z48" s="2"/>
      <c r="AA48" s="2"/>
    </row>
    <row r="49" spans="1:27" x14ac:dyDescent="0.2">
      <c r="A49" s="5" t="s">
        <v>95</v>
      </c>
      <c r="B49" s="121">
        <f>B47/B45</f>
        <v>0.30202087497224078</v>
      </c>
      <c r="C49" s="121">
        <f>C47/C45</f>
        <v>0.22092267706302796</v>
      </c>
      <c r="D49" s="121">
        <f>D47/D45</f>
        <v>0.33967325042672519</v>
      </c>
      <c r="E49" s="121" t="e">
        <f>E47/E45</f>
        <v>#DIV/0!</v>
      </c>
      <c r="F49" s="144" t="s">
        <v>96</v>
      </c>
      <c r="G49" s="15"/>
      <c r="H49" s="15" t="s">
        <v>97</v>
      </c>
      <c r="I49" s="15"/>
      <c r="J49" s="15"/>
      <c r="K49" s="139">
        <f>AS33/Q33/1000</f>
        <v>6.8868310015545199E-3</v>
      </c>
      <c r="L49" s="139">
        <f>AT33/R33/1000</f>
        <v>6.8635152696556213E-3</v>
      </c>
      <c r="M49" s="139">
        <f>AU33/S33/1000</f>
        <v>6.1248963667398185E-3</v>
      </c>
      <c r="N49" s="139">
        <f>AV33/T33/1000</f>
        <v>1.2823760330578513E-2</v>
      </c>
      <c r="O49" s="150" t="s">
        <v>98</v>
      </c>
      <c r="R49" s="21"/>
      <c r="S49" s="24"/>
      <c r="T49" s="21">
        <v>300</v>
      </c>
      <c r="U49" s="21">
        <v>11.2</v>
      </c>
      <c r="V49" s="21">
        <v>6.5</v>
      </c>
      <c r="W49" s="4"/>
      <c r="X49" s="2"/>
      <c r="Y49" s="2"/>
      <c r="Z49" s="2"/>
      <c r="AA49" s="2"/>
    </row>
    <row r="50" spans="1:27" x14ac:dyDescent="0.2">
      <c r="A50" s="5" t="s">
        <v>99</v>
      </c>
      <c r="B50" s="106">
        <f>B48/B12</f>
        <v>4.1906666666666652</v>
      </c>
      <c r="C50" s="106">
        <f>C48/C12</f>
        <v>6.3946666666666658</v>
      </c>
      <c r="D50" s="106">
        <f>D48/D12</f>
        <v>3.6106666666666669</v>
      </c>
      <c r="E50" s="106" t="e">
        <f>E48/E12</f>
        <v>#DIV/0!</v>
      </c>
      <c r="F50" s="146"/>
      <c r="G50" s="15"/>
      <c r="O50" s="151"/>
      <c r="R50" s="21"/>
      <c r="S50" s="23"/>
      <c r="T50" s="21">
        <v>325</v>
      </c>
      <c r="U50" s="21">
        <v>11.1</v>
      </c>
      <c r="V50" s="21">
        <v>6.5</v>
      </c>
      <c r="W50" s="4"/>
      <c r="X50" s="2"/>
      <c r="Y50" s="2"/>
      <c r="Z50" s="2"/>
      <c r="AA50" s="2"/>
    </row>
    <row r="51" spans="1:27" x14ac:dyDescent="0.2">
      <c r="B51" s="115"/>
      <c r="C51" s="120"/>
      <c r="D51" s="115"/>
      <c r="E51" s="113"/>
      <c r="F51" s="146"/>
      <c r="G51" s="15"/>
      <c r="O51" s="150"/>
      <c r="R51" s="21"/>
      <c r="S51" s="2"/>
      <c r="T51" s="21">
        <v>350</v>
      </c>
      <c r="U51" s="21">
        <v>11.1</v>
      </c>
      <c r="V51" s="21">
        <v>6.5</v>
      </c>
      <c r="W51" s="4"/>
      <c r="X51" s="2"/>
      <c r="Y51" s="2"/>
      <c r="Z51" s="2"/>
      <c r="AA51" s="2"/>
    </row>
    <row r="52" spans="1:27" ht="15.75" x14ac:dyDescent="0.25">
      <c r="A52" s="116" t="s">
        <v>100</v>
      </c>
      <c r="B52" s="115">
        <f>Y33/B10/B12</f>
        <v>70.550666666666658</v>
      </c>
      <c r="C52" s="115">
        <f>Z33/C10/C12</f>
        <v>99.202666666666673</v>
      </c>
      <c r="D52" s="115">
        <f>AA33/D10/D12</f>
        <v>63.905866666666668</v>
      </c>
      <c r="E52" s="115" t="e">
        <f>AB33/E10/E12</f>
        <v>#DIV/0!</v>
      </c>
      <c r="F52" s="147"/>
      <c r="G52" s="15"/>
      <c r="H52" s="125" t="s">
        <v>101</v>
      </c>
      <c r="O52" s="151"/>
      <c r="R52" s="21"/>
      <c r="S52" s="2"/>
      <c r="T52" s="21">
        <v>375</v>
      </c>
      <c r="U52" s="21">
        <v>10.8</v>
      </c>
      <c r="V52" s="21">
        <v>6.5</v>
      </c>
      <c r="W52" s="2"/>
      <c r="X52" s="2"/>
      <c r="Y52" s="2"/>
      <c r="Z52" s="2"/>
      <c r="AA52" s="2"/>
    </row>
    <row r="53" spans="1:27" x14ac:dyDescent="0.2">
      <c r="A53" s="15" t="s">
        <v>102</v>
      </c>
      <c r="B53" s="120">
        <f>AG35</f>
        <v>0.18175438596491231</v>
      </c>
      <c r="C53" s="120">
        <f>AH35</f>
        <v>0.18665367121507473</v>
      </c>
      <c r="D53" s="120">
        <f>AI35</f>
        <v>0.15863594245306023</v>
      </c>
      <c r="E53" s="120">
        <f>AJ35</f>
        <v>0.17975206611570246</v>
      </c>
      <c r="F53" s="148" t="s">
        <v>103</v>
      </c>
      <c r="G53" s="15"/>
      <c r="H53" s="126" t="s">
        <v>104</v>
      </c>
      <c r="K53" s="142">
        <f>AW33/Q33</f>
        <v>1.7832556073728627</v>
      </c>
      <c r="L53" s="142">
        <f>AX33/R33</f>
        <v>1.8352826510721247</v>
      </c>
      <c r="M53" s="142">
        <f>AY33/S33</f>
        <v>0.92411606925140199</v>
      </c>
      <c r="N53" s="142">
        <f>AZ33/T33</f>
        <v>2.4483471074380163</v>
      </c>
      <c r="O53" s="153"/>
      <c r="R53" s="21"/>
      <c r="S53" s="2"/>
      <c r="T53" s="21">
        <v>400</v>
      </c>
      <c r="U53" s="21">
        <v>10.8</v>
      </c>
      <c r="V53" s="21">
        <v>6.5</v>
      </c>
      <c r="W53" s="2"/>
      <c r="X53" s="2"/>
      <c r="Y53" s="2"/>
      <c r="Z53" s="2"/>
      <c r="AA53" s="2"/>
    </row>
    <row r="54" spans="1:27" x14ac:dyDescent="0.2">
      <c r="A54" s="1" t="s">
        <v>105</v>
      </c>
      <c r="B54" s="118">
        <f>AG33/Y33</f>
        <v>15.467654451647043</v>
      </c>
      <c r="C54" s="118">
        <f>AH33/Z33</f>
        <v>15.443670869062659</v>
      </c>
      <c r="D54" s="118">
        <f>AI33/AA33</f>
        <v>13.5734225757051</v>
      </c>
      <c r="E54" s="118">
        <f>AJ33/AB33</f>
        <v>15.384615384615383</v>
      </c>
      <c r="F54" s="149" t="s">
        <v>106</v>
      </c>
      <c r="G54" s="15"/>
      <c r="H54" s="126" t="s">
        <v>107</v>
      </c>
      <c r="K54" s="142">
        <f>AW33/B10</f>
        <v>16.059999999999999</v>
      </c>
      <c r="L54" s="142">
        <f>AX33/C10</f>
        <v>22.595999999999997</v>
      </c>
      <c r="M54" s="142">
        <f>AY33/D10</f>
        <v>7.5795999999999992</v>
      </c>
      <c r="N54" s="142" t="e">
        <f>AZ33/E10</f>
        <v>#DIV/0!</v>
      </c>
      <c r="O54" s="153"/>
      <c r="R54" s="21"/>
      <c r="S54" s="2"/>
      <c r="T54" s="21">
        <v>425</v>
      </c>
      <c r="U54" s="21">
        <v>10.6</v>
      </c>
      <c r="V54" s="21">
        <v>6.5</v>
      </c>
      <c r="W54" s="2"/>
      <c r="X54" s="2"/>
      <c r="Y54" s="2"/>
      <c r="Z54" s="2"/>
      <c r="AA54" s="2"/>
    </row>
    <row r="55" spans="1:27" x14ac:dyDescent="0.2">
      <c r="A55" s="116" t="s">
        <v>108</v>
      </c>
      <c r="B55" s="118">
        <f>AC33/Y33</f>
        <v>8.6534500028348429</v>
      </c>
      <c r="C55" s="118">
        <f>AD33/Z33</f>
        <v>8.8201930055643665</v>
      </c>
      <c r="D55" s="118">
        <f>AE33/AA33</f>
        <v>7.8865164178979921</v>
      </c>
      <c r="E55" s="118">
        <f>AF33/AB33</f>
        <v>9.2307692307692317</v>
      </c>
      <c r="F55" s="149" t="s">
        <v>109</v>
      </c>
      <c r="G55" s="15"/>
      <c r="H55" s="126" t="s">
        <v>110</v>
      </c>
      <c r="K55" s="142">
        <f>K54/B12</f>
        <v>10.706666666666665</v>
      </c>
      <c r="L55" s="142">
        <f>L54/C12</f>
        <v>15.063999999999998</v>
      </c>
      <c r="M55" s="142">
        <f>M54/D12</f>
        <v>5.0530666666666662</v>
      </c>
      <c r="N55" s="142" t="e">
        <f>N54/E12</f>
        <v>#DIV/0!</v>
      </c>
      <c r="O55" s="153"/>
      <c r="R55" s="21"/>
      <c r="S55" s="2"/>
      <c r="T55" s="21">
        <v>450</v>
      </c>
      <c r="U55" s="21">
        <v>10.6</v>
      </c>
      <c r="V55" s="21">
        <v>6.5</v>
      </c>
      <c r="W55" s="2"/>
      <c r="X55" s="2"/>
      <c r="Y55" s="2"/>
      <c r="Z55" s="2"/>
      <c r="AA55" s="2"/>
    </row>
    <row r="56" spans="1:27" x14ac:dyDescent="0.2">
      <c r="A56" s="15" t="s">
        <v>111</v>
      </c>
      <c r="B56" s="121">
        <f>AK35</f>
        <v>0.38229180546302466</v>
      </c>
      <c r="C56" s="121">
        <f>AL35</f>
        <v>0.35804678362573106</v>
      </c>
      <c r="D56" s="121">
        <f>AM35</f>
        <v>0.36113240673006586</v>
      </c>
      <c r="E56" s="121">
        <f>AN35</f>
        <v>0.26243801652892557</v>
      </c>
      <c r="F56" s="150" t="s">
        <v>96</v>
      </c>
      <c r="G56" s="15"/>
      <c r="O56" s="153"/>
      <c r="R56" s="21"/>
      <c r="S56" s="2"/>
      <c r="T56" s="21">
        <v>475</v>
      </c>
      <c r="U56" s="21">
        <v>10.4</v>
      </c>
      <c r="V56" s="21">
        <v>6.5</v>
      </c>
      <c r="W56" s="2"/>
      <c r="X56" s="2"/>
      <c r="Y56" s="2"/>
      <c r="Z56" s="2"/>
      <c r="AA56" s="2"/>
    </row>
    <row r="57" spans="1:27" x14ac:dyDescent="0.2">
      <c r="A57" s="1" t="s">
        <v>112</v>
      </c>
      <c r="B57" s="120">
        <f>AK33/B10/B11/1000</f>
        <v>9.8369142857142843E-3</v>
      </c>
      <c r="C57" s="120">
        <f>AL33/C10/C11/1000</f>
        <v>1.2595062857142857E-2</v>
      </c>
      <c r="D57" s="120">
        <f>AM33/D10/D11/1000</f>
        <v>8.4628800000000007E-3</v>
      </c>
      <c r="E57" s="120" t="e">
        <f>AN33/E10/E11/1000</f>
        <v>#DIV/0!</v>
      </c>
      <c r="F57" s="150"/>
      <c r="G57" s="15"/>
      <c r="O57" s="153"/>
      <c r="R57" s="21"/>
      <c r="S57" s="2"/>
      <c r="T57" s="21">
        <v>500</v>
      </c>
      <c r="U57" s="21">
        <v>10.4</v>
      </c>
      <c r="V57" s="21">
        <v>6.5</v>
      </c>
      <c r="W57" s="2"/>
      <c r="X57" s="2"/>
      <c r="Y57" s="2"/>
      <c r="Z57" s="2"/>
      <c r="AA57" s="2"/>
    </row>
    <row r="58" spans="1:27" ht="15.75" x14ac:dyDescent="0.25">
      <c r="A58" s="5" t="s">
        <v>113</v>
      </c>
      <c r="B58" s="141">
        <f>Y33/Q33</f>
        <v>11.750610703975129</v>
      </c>
      <c r="C58" s="141">
        <f>Z33/R33</f>
        <v>12.086094866796621</v>
      </c>
      <c r="D58" s="141">
        <f>AA33/S33</f>
        <v>11.687247012923677</v>
      </c>
      <c r="E58" s="141">
        <f>AB33/T33</f>
        <v>11.683884297520661</v>
      </c>
      <c r="F58" s="150"/>
      <c r="G58" s="15"/>
      <c r="H58" s="123" t="s">
        <v>114</v>
      </c>
      <c r="I58" s="15"/>
      <c r="J58" s="113"/>
      <c r="K58" s="113"/>
      <c r="L58" s="113"/>
      <c r="M58" s="15"/>
      <c r="N58" s="112"/>
      <c r="O58" s="153"/>
      <c r="R58" s="21"/>
      <c r="S58" s="2"/>
      <c r="T58" s="21">
        <v>525</v>
      </c>
      <c r="U58" s="21">
        <v>10.1</v>
      </c>
      <c r="V58" s="21">
        <v>6.5</v>
      </c>
      <c r="W58" s="2"/>
      <c r="X58" s="2"/>
      <c r="Y58" s="2"/>
      <c r="Z58" s="2"/>
      <c r="AA58" s="2"/>
    </row>
    <row r="59" spans="1:27" ht="15.75" x14ac:dyDescent="0.25">
      <c r="F59" s="151"/>
      <c r="G59" s="15"/>
      <c r="H59" s="15" t="s">
        <v>115</v>
      </c>
      <c r="I59" s="15"/>
      <c r="J59" s="15"/>
      <c r="K59" s="124">
        <f>((B13-B11)*0.0256)/(AG33/1000/6.25/B10*B14)</f>
        <v>0.14662039978495678</v>
      </c>
      <c r="L59" s="124">
        <f>((C13-C11)*0.0256)/(AH33/1000/6.25/C10*C14)</f>
        <v>0.10443500661421709</v>
      </c>
      <c r="M59" s="124">
        <f>((D13-D11)*0.0256)/(AI33/1000/6.25/D10*D14)</f>
        <v>0.18445476707974293</v>
      </c>
      <c r="N59" s="124" t="e">
        <f>((E13-E11)*0.0256)/(AJ33/1000/6.25/E10*E14)</f>
        <v>#DIV/0!</v>
      </c>
      <c r="O59" s="153" t="s">
        <v>116</v>
      </c>
      <c r="R59" s="44"/>
      <c r="T59" s="21">
        <v>550</v>
      </c>
      <c r="U59" s="21">
        <v>10.1</v>
      </c>
      <c r="V59" s="21">
        <v>6.5</v>
      </c>
      <c r="W59" s="2"/>
      <c r="X59" s="2"/>
      <c r="Y59" s="2"/>
      <c r="Z59" s="2"/>
      <c r="AA59" s="2"/>
    </row>
    <row r="60" spans="1:27" x14ac:dyDescent="0.2">
      <c r="F60" s="150"/>
      <c r="G60" s="15"/>
      <c r="H60" s="1" t="s">
        <v>117</v>
      </c>
      <c r="K60" s="46">
        <f>BA35</f>
        <v>0.13524317121918722</v>
      </c>
      <c r="L60" s="46">
        <f>BB35</f>
        <v>0.15263157894736845</v>
      </c>
      <c r="M60" s="46">
        <f>BC35</f>
        <v>4.2428675932699333E-2</v>
      </c>
      <c r="N60" s="46">
        <f>BD35</f>
        <v>0.17975206611570246</v>
      </c>
      <c r="O60" s="153"/>
      <c r="R60" s="44"/>
      <c r="T60" s="21">
        <v>575</v>
      </c>
      <c r="U60" s="21">
        <v>10.1</v>
      </c>
      <c r="V60" s="21">
        <v>6.5</v>
      </c>
      <c r="W60" s="2"/>
      <c r="X60" s="2"/>
      <c r="Y60" s="2"/>
      <c r="Z60" s="2"/>
      <c r="AA60" s="2"/>
    </row>
    <row r="61" spans="1:27" ht="15.75" x14ac:dyDescent="0.25">
      <c r="A61" s="114" t="s">
        <v>118</v>
      </c>
      <c r="B61" s="39"/>
      <c r="C61" s="39"/>
      <c r="D61" s="72"/>
      <c r="E61" s="45"/>
      <c r="F61" s="151"/>
      <c r="G61" s="15"/>
      <c r="M61" s="113"/>
      <c r="N61" s="112"/>
      <c r="O61" s="156"/>
      <c r="R61" s="67"/>
      <c r="T61" s="21">
        <v>600</v>
      </c>
      <c r="U61" s="21">
        <v>10.1</v>
      </c>
      <c r="V61" s="21">
        <v>6.5</v>
      </c>
      <c r="W61" s="2"/>
      <c r="X61" s="2"/>
      <c r="Y61" s="2"/>
      <c r="Z61" s="2"/>
      <c r="AA61" s="2"/>
    </row>
    <row r="62" spans="1:27" x14ac:dyDescent="0.2">
      <c r="A62" s="39" t="s">
        <v>119</v>
      </c>
      <c r="B62" s="138">
        <f>Y33/B10/T15</f>
        <v>1.0018962782611818</v>
      </c>
      <c r="C62" s="138">
        <f>Z33/C10/T16</f>
        <v>1.4087858729459386</v>
      </c>
      <c r="D62" s="138">
        <f>AA33/D10/T17</f>
        <v>0.90753288377698271</v>
      </c>
      <c r="E62" s="138" t="e">
        <f>AB33/E10/T18</f>
        <v>#DIV/0!</v>
      </c>
      <c r="F62" s="152">
        <v>1</v>
      </c>
      <c r="G62" s="15"/>
      <c r="L62" s="113"/>
      <c r="M62" s="113"/>
      <c r="N62" s="15"/>
      <c r="O62" s="153"/>
      <c r="T62" s="21">
        <v>625</v>
      </c>
      <c r="U62" s="21">
        <v>10.1</v>
      </c>
      <c r="V62" s="21">
        <v>6.5</v>
      </c>
      <c r="W62" s="2"/>
      <c r="X62" s="2"/>
      <c r="Y62" s="2"/>
      <c r="Z62" s="2"/>
      <c r="AA62" s="2"/>
    </row>
    <row r="63" spans="1:27" ht="15.75" x14ac:dyDescent="0.25">
      <c r="A63" s="1" t="s">
        <v>8</v>
      </c>
      <c r="B63" s="40">
        <f>AG33/B10/U15</f>
        <v>1.3961248133815471</v>
      </c>
      <c r="C63" s="40">
        <f>AH33/C10/U16</f>
        <v>1.9600743555641622</v>
      </c>
      <c r="D63" s="40">
        <f>AI33/D10/U17</f>
        <v>1.1097592191759684</v>
      </c>
      <c r="E63" s="40" t="e">
        <f>AJ33/E10/U18</f>
        <v>#DIV/0!</v>
      </c>
      <c r="F63" s="152">
        <v>1</v>
      </c>
      <c r="G63" s="15"/>
      <c r="H63" s="123" t="s">
        <v>120</v>
      </c>
      <c r="O63" s="153"/>
      <c r="U63" s="2"/>
      <c r="V63" s="2"/>
      <c r="W63" s="2"/>
      <c r="X63" s="2"/>
      <c r="Y63" s="2"/>
      <c r="Z63" s="2"/>
      <c r="AA63" s="2"/>
    </row>
    <row r="64" spans="1:27" x14ac:dyDescent="0.2">
      <c r="A64" s="39" t="s">
        <v>121</v>
      </c>
      <c r="B64" s="119">
        <f>AC33/B10/V15</f>
        <v>1.333824515686068</v>
      </c>
      <c r="C64" s="119">
        <f>AD33/C10/V16</f>
        <v>1.9116558927531782</v>
      </c>
      <c r="D64" s="119">
        <f>AE33/D10/V17</f>
        <v>1.1011189211829975</v>
      </c>
      <c r="E64" s="119" t="e">
        <f>AF33/E10/V18</f>
        <v>#DIV/0!</v>
      </c>
      <c r="F64" s="152">
        <v>1</v>
      </c>
      <c r="G64" s="15"/>
      <c r="H64" s="15" t="s">
        <v>122</v>
      </c>
      <c r="K64" s="40">
        <f>BE33/Q33</f>
        <v>0</v>
      </c>
      <c r="L64" s="40">
        <f>BF33/R33</f>
        <v>0</v>
      </c>
      <c r="M64" s="40">
        <f>BG33/S33</f>
        <v>0</v>
      </c>
      <c r="N64" s="40">
        <f>BH33/T33</f>
        <v>0</v>
      </c>
      <c r="O64" s="156" t="s">
        <v>123</v>
      </c>
      <c r="U64" s="2"/>
      <c r="V64" s="2"/>
      <c r="W64" s="2"/>
      <c r="X64" s="2"/>
      <c r="Y64" s="2"/>
      <c r="Z64" s="2"/>
      <c r="AA64" s="2"/>
    </row>
    <row r="65" spans="1:27" x14ac:dyDescent="0.2">
      <c r="F65" s="153"/>
      <c r="G65" s="15"/>
      <c r="O65" s="155"/>
      <c r="U65" s="2"/>
      <c r="V65" s="2"/>
      <c r="W65" s="2"/>
      <c r="X65" s="2"/>
      <c r="Y65" s="2"/>
      <c r="Z65" s="2"/>
      <c r="AA65" s="2"/>
    </row>
    <row r="66" spans="1:27" x14ac:dyDescent="0.2">
      <c r="F66" s="153"/>
      <c r="G66" s="15"/>
      <c r="H66" s="15"/>
      <c r="I66" s="15"/>
      <c r="J66" s="15"/>
      <c r="K66" s="15"/>
      <c r="L66" s="113"/>
      <c r="M66" s="15"/>
      <c r="N66" s="113"/>
      <c r="O66" s="153"/>
      <c r="R66" s="21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x14ac:dyDescent="0.25">
      <c r="A67" s="108" t="s">
        <v>124</v>
      </c>
      <c r="F67" s="153"/>
      <c r="G67" s="15"/>
      <c r="O67" s="155"/>
      <c r="R67" s="21"/>
      <c r="S67" s="2"/>
      <c r="W67" s="2"/>
      <c r="X67" s="2"/>
      <c r="Y67" s="2"/>
      <c r="Z67" s="2"/>
      <c r="AA67" s="2"/>
    </row>
    <row r="68" spans="1:27" x14ac:dyDescent="0.2">
      <c r="A68" s="1" t="s">
        <v>125</v>
      </c>
      <c r="B68" s="5">
        <f>Y33/B10-T5</f>
        <v>67.389428433209304</v>
      </c>
      <c r="C68" s="5">
        <f>Z33/C10-T6</f>
        <v>110.36742843320931</v>
      </c>
      <c r="D68" s="5">
        <f>AA33/D10-T7</f>
        <v>57.422228433209305</v>
      </c>
      <c r="E68" s="5" t="e">
        <f>AB33/E10-T8</f>
        <v>#DIV/0!</v>
      </c>
      <c r="F68" s="153"/>
      <c r="G68" s="15"/>
      <c r="O68" s="155"/>
      <c r="R68" s="21"/>
      <c r="S68" s="2"/>
      <c r="W68" s="2"/>
      <c r="X68" s="2"/>
      <c r="Y68" s="2"/>
      <c r="Z68" s="2"/>
      <c r="AA68" s="2"/>
    </row>
    <row r="69" spans="1:27" x14ac:dyDescent="0.2">
      <c r="A69" s="1" t="s">
        <v>126</v>
      </c>
      <c r="B69" s="69">
        <f>((0.522*B68)/(6.28+0.0188*B11))/(1+(((0.522*B68)/(6.28+0.0188*B11))*0.3))</f>
        <v>1.5024560906352773</v>
      </c>
      <c r="C69" s="69">
        <f>((0.522*C68)/(6.28+0.0188*C11))/(1+(((0.522*C68)/(6.28+0.0188*C11))*0.3))</f>
        <v>1.9112486122756311</v>
      </c>
      <c r="D69" s="69">
        <f>((0.522*D68)/(6.28+0.0188*D11))/(1+(((0.522*D68)/(6.28+0.0188*D11))*0.3))</f>
        <v>1.3716805313112344</v>
      </c>
      <c r="E69" s="69" t="e">
        <f>((0.522*E68)/(6.28+0.0188*E11))/(1+(((0.522*E68)/(6.28+0.0188*E11))*0.3))</f>
        <v>#DIV/0!</v>
      </c>
      <c r="F69" s="154"/>
      <c r="I69" s="15"/>
      <c r="J69" s="15"/>
      <c r="K69" s="15"/>
      <c r="L69" s="113"/>
      <c r="M69" s="15"/>
      <c r="N69" s="113"/>
      <c r="R69" s="21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1" t="s">
        <v>127</v>
      </c>
      <c r="B70" s="158">
        <f>F4+((B13-B11)/B69)</f>
        <v>38824.673056583735</v>
      </c>
      <c r="C70" s="158">
        <f>G4+((C13-C11)/C69)</f>
        <v>156.96545079125238</v>
      </c>
      <c r="D70" s="158">
        <f>H4+((D13-D11)/D69)</f>
        <v>218.70981846860519</v>
      </c>
      <c r="E70" s="158" t="e">
        <f>I4+((E13-E11)/E69)</f>
        <v>#DIV/0!</v>
      </c>
      <c r="F70" s="155"/>
      <c r="I70" s="15"/>
      <c r="J70" s="15"/>
      <c r="K70" s="121"/>
      <c r="M70" s="15"/>
      <c r="N70" s="113"/>
      <c r="R70" s="21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R71" s="21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">
      <c r="B72" s="1"/>
      <c r="C72" s="1"/>
      <c r="O72" s="2"/>
      <c r="P72" s="2"/>
      <c r="Q72" s="21"/>
      <c r="R72" s="21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">
      <c r="B73" s="1"/>
      <c r="C73" s="1"/>
      <c r="H73" s="2"/>
      <c r="L73" s="2"/>
      <c r="M73" s="2"/>
      <c r="N73" s="2"/>
      <c r="O73" s="2"/>
      <c r="P73" s="2"/>
      <c r="Q73" s="21"/>
      <c r="R73" s="21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H74" s="2"/>
      <c r="L74" s="2"/>
      <c r="M74" s="2"/>
      <c r="N74" s="26"/>
      <c r="O74" s="26"/>
      <c r="P74" s="2"/>
      <c r="Q74" s="21"/>
      <c r="R74" s="21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G75" s="27"/>
      <c r="H75" s="27"/>
      <c r="I75" s="2"/>
      <c r="J75" s="2"/>
      <c r="K75" s="2"/>
      <c r="L75" s="2"/>
      <c r="M75" s="28"/>
      <c r="N75" s="28"/>
      <c r="O75" s="29"/>
      <c r="P75" s="2"/>
      <c r="Q75" s="21"/>
      <c r="R75" s="21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F76" s="27"/>
      <c r="G76" s="2"/>
      <c r="H76" s="19"/>
      <c r="I76" s="2"/>
      <c r="J76" s="2"/>
      <c r="K76" s="2"/>
      <c r="L76" s="2"/>
      <c r="M76" s="2"/>
      <c r="N76" s="2"/>
      <c r="O76" s="30"/>
      <c r="P76" s="2"/>
      <c r="Q76" s="21"/>
      <c r="R76" s="21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F77" s="30"/>
      <c r="G77" s="2"/>
      <c r="H77" s="2"/>
      <c r="I77" s="2"/>
      <c r="J77" s="2"/>
      <c r="K77" s="2"/>
      <c r="L77" s="19"/>
      <c r="M77" s="2"/>
      <c r="N77" s="2"/>
      <c r="O77" s="2"/>
      <c r="P77" s="2"/>
      <c r="Q77" s="21"/>
      <c r="R77" s="21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"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1"/>
      <c r="R78" s="21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1"/>
      <c r="R79" s="21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1"/>
      <c r="R80" s="21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1"/>
      <c r="R81" s="21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">
      <c r="F82" s="2"/>
      <c r="G82" s="2"/>
      <c r="H82" s="2"/>
      <c r="I82" s="2"/>
      <c r="J82" s="2"/>
      <c r="K82" s="2"/>
      <c r="L82" s="2"/>
      <c r="M82" s="2"/>
      <c r="N82" s="2"/>
      <c r="O82" s="2"/>
      <c r="Q82" s="21"/>
      <c r="R82" s="21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27" x14ac:dyDescent="0.2">
      <c r="A84" s="2"/>
      <c r="F84" s="2"/>
      <c r="I84" s="13"/>
    </row>
    <row r="85" spans="1:27" x14ac:dyDescent="0.2">
      <c r="A85" s="2"/>
    </row>
  </sheetData>
  <mergeCells count="14">
    <mergeCell ref="F4:G4"/>
    <mergeCell ref="Q21:T21"/>
    <mergeCell ref="Y21:AB21"/>
    <mergeCell ref="F5:H5"/>
    <mergeCell ref="C8:D8"/>
    <mergeCell ref="E8:F8"/>
    <mergeCell ref="B20:E20"/>
    <mergeCell ref="G20:M20"/>
    <mergeCell ref="AO21:AR21"/>
    <mergeCell ref="AS21:AV21"/>
    <mergeCell ref="AC21:AF21"/>
    <mergeCell ref="U21:X21"/>
    <mergeCell ref="AG21:AJ21"/>
    <mergeCell ref="AK21:AN21"/>
  </mergeCells>
  <phoneticPr fontId="0" type="noConversion"/>
  <pageMargins left="0.79" right="0.97" top="0.3" bottom="0.31" header="0.3" footer="0.28000000000000003"/>
  <pageSetup paperSize="9" scale="83" orientation="landscape" horizontalDpi="4294967293" verticalDpi="300" r:id="rId1"/>
  <headerFooter alignWithMargins="0"/>
  <rowBreaks count="1" manualBreakCount="1">
    <brk id="35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N85"/>
  <sheetViews>
    <sheetView zoomScale="75" zoomScaleNormal="80" workbookViewId="0">
      <selection activeCell="F4" sqref="F4:G4"/>
    </sheetView>
  </sheetViews>
  <sheetFormatPr defaultColWidth="9.28515625" defaultRowHeight="15" x14ac:dyDescent="0.2"/>
  <cols>
    <col min="1" max="1" width="30.7109375" style="1" customWidth="1"/>
    <col min="2" max="5" width="9.42578125" style="2" customWidth="1"/>
    <col min="6" max="6" width="8.7109375" style="1" customWidth="1"/>
    <col min="7" max="7" width="5.7109375" style="1" customWidth="1"/>
    <col min="8" max="8" width="8.5703125" style="1" customWidth="1"/>
    <col min="9" max="9" width="6.28515625" style="1" customWidth="1"/>
    <col min="10" max="10" width="7.7109375" style="1" customWidth="1"/>
    <col min="11" max="12" width="9.28515625" style="1" customWidth="1"/>
    <col min="13" max="13" width="9.42578125" style="1" customWidth="1"/>
    <col min="14" max="14" width="9.28515625" style="1" customWidth="1"/>
    <col min="15" max="15" width="7.42578125" style="1" customWidth="1"/>
    <col min="16" max="16" width="5" style="1" customWidth="1"/>
    <col min="17" max="17" width="9.5703125" style="11" bestFit="1" customWidth="1"/>
    <col min="18" max="18" width="8.42578125" style="11" customWidth="1"/>
    <col min="19" max="19" width="8.42578125" style="1" customWidth="1"/>
    <col min="20" max="20" width="14.7109375" style="1" customWidth="1"/>
    <col min="21" max="21" width="12.5703125" style="1" bestFit="1" customWidth="1"/>
    <col min="22" max="22" width="10" style="1" bestFit="1" customWidth="1"/>
    <col min="23" max="24" width="8.5703125" style="1" bestFit="1" customWidth="1"/>
    <col min="25" max="25" width="10" style="1" bestFit="1" customWidth="1"/>
    <col min="26" max="26" width="8" style="1" customWidth="1"/>
    <col min="27" max="27" width="7.7109375" style="1" customWidth="1"/>
    <col min="28" max="29" width="6.5703125" style="1" customWidth="1"/>
    <col min="30" max="38" width="9.28515625" style="1" customWidth="1"/>
    <col min="39" max="40" width="9.7109375" style="1" bestFit="1" customWidth="1"/>
    <col min="41" max="48" width="9.28515625" style="1" bestFit="1" customWidth="1"/>
    <col min="49" max="49" width="9.7109375" style="1" bestFit="1" customWidth="1"/>
    <col min="50" max="54" width="9.28515625" style="1" bestFit="1" customWidth="1"/>
    <col min="55" max="16384" width="9.28515625" style="1"/>
  </cols>
  <sheetData>
    <row r="2" spans="1:31" ht="28.5" x14ac:dyDescent="0.4">
      <c r="A2" s="10" t="s">
        <v>0</v>
      </c>
      <c r="L2" s="96" t="s">
        <v>1</v>
      </c>
      <c r="M2" s="77"/>
      <c r="N2" s="77"/>
      <c r="Q2" s="210" t="s">
        <v>2</v>
      </c>
      <c r="R2" s="50"/>
      <c r="S2" s="21"/>
      <c r="T2" s="164" t="s">
        <v>128</v>
      </c>
      <c r="V2" s="2"/>
      <c r="W2" s="2"/>
      <c r="X2" s="2"/>
      <c r="AC2" s="4"/>
      <c r="AD2" s="4"/>
      <c r="AE2" s="4"/>
    </row>
    <row r="3" spans="1:31" ht="15.75" x14ac:dyDescent="0.25">
      <c r="G3" s="12"/>
      <c r="H3" s="12"/>
      <c r="L3" s="34" t="s">
        <v>4</v>
      </c>
      <c r="N3" s="2"/>
      <c r="Q3" s="2"/>
      <c r="R3" s="21" t="s">
        <v>5</v>
      </c>
      <c r="S3" s="21" t="s">
        <v>6</v>
      </c>
      <c r="T3" s="21" t="s">
        <v>7</v>
      </c>
      <c r="U3" s="2" t="s">
        <v>8</v>
      </c>
      <c r="V3" s="21" t="s">
        <v>9</v>
      </c>
      <c r="W3" s="21" t="s">
        <v>10</v>
      </c>
      <c r="X3" s="21" t="s">
        <v>11</v>
      </c>
      <c r="AC3" s="4"/>
      <c r="AD3" s="4"/>
      <c r="AE3" s="4"/>
    </row>
    <row r="4" spans="1:31" ht="15.75" x14ac:dyDescent="0.25">
      <c r="A4" s="1" t="s">
        <v>12</v>
      </c>
      <c r="B4" s="165">
        <v>7</v>
      </c>
      <c r="C4" s="1"/>
      <c r="D4" s="1" t="s">
        <v>13</v>
      </c>
      <c r="E4" s="1"/>
      <c r="F4" s="261">
        <v>37917</v>
      </c>
      <c r="G4" s="262"/>
      <c r="H4" s="12"/>
      <c r="I4" s="16"/>
      <c r="L4" s="33" t="s">
        <v>129</v>
      </c>
      <c r="N4" s="16"/>
      <c r="O4" s="2"/>
      <c r="P4" s="2"/>
      <c r="Q4" s="159" t="s">
        <v>15</v>
      </c>
      <c r="R4" s="92"/>
      <c r="S4" s="160"/>
      <c r="T4" s="94">
        <f>R5*T5+R6*T6+R7*T7+R8*T8</f>
        <v>1553.162452340317</v>
      </c>
      <c r="U4" s="92"/>
      <c r="V4" s="92"/>
      <c r="W4" s="92"/>
      <c r="X4" s="92"/>
      <c r="AC4" s="4"/>
      <c r="AD4" s="4"/>
      <c r="AE4" s="4"/>
    </row>
    <row r="5" spans="1:31" x14ac:dyDescent="0.2">
      <c r="A5" s="1" t="s">
        <v>16</v>
      </c>
      <c r="B5" s="165">
        <v>0</v>
      </c>
      <c r="C5" s="14"/>
      <c r="D5" s="1" t="s">
        <v>17</v>
      </c>
      <c r="E5" s="1"/>
      <c r="F5" s="264"/>
      <c r="G5" s="264"/>
      <c r="H5" s="262"/>
      <c r="I5" s="16"/>
      <c r="L5" s="35" t="s">
        <v>18</v>
      </c>
      <c r="N5" s="17"/>
      <c r="O5" s="2"/>
      <c r="P5" s="2"/>
      <c r="Q5" s="92" t="s">
        <v>19</v>
      </c>
      <c r="R5" s="160">
        <f>$B$10</f>
        <v>14</v>
      </c>
      <c r="S5" s="161">
        <f>$B$11</f>
        <v>150</v>
      </c>
      <c r="T5" s="57">
        <f>(($S5^0.75)*0.475)*1.05</f>
        <v>21.377226214684143</v>
      </c>
      <c r="U5" s="57"/>
      <c r="V5" s="57"/>
      <c r="W5" s="58"/>
      <c r="X5" s="60"/>
      <c r="AC5" s="4"/>
      <c r="AD5" s="4"/>
      <c r="AE5" s="4"/>
    </row>
    <row r="6" spans="1:31" x14ac:dyDescent="0.2">
      <c r="G6" s="12"/>
      <c r="H6" s="12"/>
      <c r="I6" s="16"/>
      <c r="L6" s="35"/>
      <c r="N6" s="18"/>
      <c r="O6" s="2"/>
      <c r="P6" s="2"/>
      <c r="Q6" s="162" t="s">
        <v>20</v>
      </c>
      <c r="R6" s="160">
        <f>$C$10</f>
        <v>10</v>
      </c>
      <c r="S6" s="160">
        <f>$C$11</f>
        <v>260</v>
      </c>
      <c r="T6" s="57">
        <f>(($S6^0.75)*0.475)*1.05</f>
        <v>32.293336624245534</v>
      </c>
      <c r="U6" s="57"/>
      <c r="V6" s="59"/>
      <c r="W6" s="58"/>
      <c r="X6" s="59"/>
      <c r="Y6" s="2"/>
      <c r="Z6" s="2" t="s">
        <v>21</v>
      </c>
      <c r="AA6" s="2" t="s">
        <v>22</v>
      </c>
      <c r="AB6" s="2" t="s">
        <v>23</v>
      </c>
      <c r="AC6" s="4"/>
      <c r="AD6" s="4"/>
      <c r="AE6" s="4"/>
    </row>
    <row r="7" spans="1:31" x14ac:dyDescent="0.2">
      <c r="B7" s="95"/>
      <c r="C7" s="28"/>
      <c r="F7" s="12"/>
      <c r="G7" s="12"/>
      <c r="H7" s="12"/>
      <c r="I7" s="16"/>
      <c r="M7" s="18"/>
      <c r="N7" s="18"/>
      <c r="O7" s="18"/>
      <c r="Q7" s="92" t="s">
        <v>24</v>
      </c>
      <c r="R7" s="59">
        <f>$D$10</f>
        <v>10</v>
      </c>
      <c r="S7" s="161">
        <f>$D$11</f>
        <v>350</v>
      </c>
      <c r="T7" s="57">
        <f>(($S7^0.75)*0.475)*1.05</f>
        <v>40.358400145130233</v>
      </c>
      <c r="U7" s="92"/>
      <c r="V7" s="59"/>
      <c r="W7" s="71"/>
      <c r="X7" s="93"/>
      <c r="Y7" s="2"/>
      <c r="Z7" s="140">
        <f>((0.522*AB7)/(6.28+0.0188*AA7))/(1+(((0.522*AB7)/(6.28+0.0188*AA7))*0.3))</f>
        <v>1.2007830113054905</v>
      </c>
      <c r="AA7" s="2">
        <v>200</v>
      </c>
      <c r="AB7" s="2">
        <v>36.1</v>
      </c>
      <c r="AC7" s="4"/>
      <c r="AD7" s="4"/>
      <c r="AE7" s="4"/>
    </row>
    <row r="8" spans="1:31" ht="18.75" x14ac:dyDescent="0.3">
      <c r="A8" s="90"/>
      <c r="B8" s="209"/>
      <c r="C8" s="265"/>
      <c r="D8" s="266"/>
      <c r="E8" s="265"/>
      <c r="F8" s="267"/>
      <c r="G8" s="12"/>
      <c r="I8" s="16"/>
      <c r="J8" s="52"/>
      <c r="K8" s="12"/>
      <c r="L8" s="36"/>
      <c r="M8" s="209"/>
      <c r="N8" s="12"/>
      <c r="O8" s="12"/>
      <c r="Q8" s="162" t="s">
        <v>25</v>
      </c>
      <c r="R8" s="160">
        <f>$E$10</f>
        <v>10</v>
      </c>
      <c r="S8" s="163">
        <f>$E$11</f>
        <v>500</v>
      </c>
      <c r="T8" s="57">
        <f>(($S8^0.75)*0.475)*1.05</f>
        <v>52.736391764098144</v>
      </c>
      <c r="U8" s="57"/>
      <c r="V8" s="57"/>
      <c r="W8" s="58"/>
      <c r="X8" s="59"/>
      <c r="Y8" s="2"/>
      <c r="Z8" s="140">
        <f>((0.522*AB8)/(6.28+0.0188*AA8))/(1+(((0.522*AB8)/(6.28+0.0188*AA8))*0.3))</f>
        <v>1.2001242104969816</v>
      </c>
      <c r="AA8" s="2">
        <v>350</v>
      </c>
      <c r="AB8" s="1">
        <v>46.2</v>
      </c>
      <c r="AC8" s="4"/>
      <c r="AD8" s="4"/>
      <c r="AE8" s="4"/>
    </row>
    <row r="9" spans="1:31" ht="18.75" x14ac:dyDescent="0.3">
      <c r="A9" s="38"/>
      <c r="B9" s="97" t="s">
        <v>26</v>
      </c>
      <c r="C9" s="97" t="s">
        <v>27</v>
      </c>
      <c r="D9" s="97" t="s">
        <v>28</v>
      </c>
      <c r="E9" s="97" t="s">
        <v>29</v>
      </c>
      <c r="F9" s="97" t="s">
        <v>30</v>
      </c>
      <c r="H9" s="12"/>
      <c r="I9" s="16"/>
      <c r="J9" s="53"/>
      <c r="K9" s="12"/>
      <c r="L9" s="209"/>
      <c r="M9" s="209"/>
      <c r="N9" s="12"/>
      <c r="O9" s="12"/>
      <c r="Q9" s="159" t="s">
        <v>31</v>
      </c>
      <c r="R9" s="160"/>
      <c r="S9" s="160"/>
      <c r="T9" s="94">
        <f>$R$10*T10+$R$11*T11+$R$12*T12+$R$13*T13</f>
        <v>1492.5852373020414</v>
      </c>
      <c r="U9" s="94">
        <f>$R$10*U10+$R$11*U11+$R$12*U12+$R$13*U13</f>
        <v>34844.228063844159</v>
      </c>
      <c r="V9" s="94">
        <f>$R$10*V10+$R$11*V11+$R$12*V12+$R$13*V13</f>
        <v>20469.989721455175</v>
      </c>
      <c r="W9" s="94">
        <f>$R$10*W10+$R$11*W11+$R$12*W12+$R$13*W13</f>
        <v>1408</v>
      </c>
      <c r="X9" s="94">
        <f>$R$10*X10+$R$11*X11+$R$12*X12+$R$13*X13</f>
        <v>862</v>
      </c>
      <c r="Y9" s="2"/>
      <c r="Z9" s="140">
        <f>((0.522*AB9)/(6.28+0.0188*AA9))/(1+(((0.522*AB9)/(6.28+0.0188*AA9))*0.3))</f>
        <v>1.0002400475041375</v>
      </c>
      <c r="AA9" s="2">
        <v>550</v>
      </c>
      <c r="AB9" s="1">
        <v>45.5</v>
      </c>
      <c r="AC9" s="4"/>
      <c r="AD9" s="4"/>
      <c r="AE9" s="4"/>
    </row>
    <row r="10" spans="1:31" ht="15.75" x14ac:dyDescent="0.25">
      <c r="A10" s="98" t="s">
        <v>5</v>
      </c>
      <c r="B10" s="76">
        <v>14</v>
      </c>
      <c r="C10" s="76">
        <v>10</v>
      </c>
      <c r="D10" s="76">
        <v>10</v>
      </c>
      <c r="E10" s="76">
        <v>10</v>
      </c>
      <c r="F10" s="99">
        <f>SUM(B10:E10)</f>
        <v>44</v>
      </c>
      <c r="H10" s="83"/>
      <c r="O10" s="12"/>
      <c r="Q10" s="92" t="s">
        <v>19</v>
      </c>
      <c r="R10" s="160">
        <f>$B$10</f>
        <v>14</v>
      </c>
      <c r="S10" s="161">
        <f>$B$11</f>
        <v>150</v>
      </c>
      <c r="T10" s="58">
        <f>((B12*(6.28+0.0188*S10))/((1-0.3*B12)*0.435))*1.05</f>
        <v>27.08077468115258</v>
      </c>
      <c r="U10" s="57">
        <f>LOOKUP($S10,$T$39:$T$62,$U$39:$U$62)*(T10+T5)</f>
        <v>634.79981173546105</v>
      </c>
      <c r="V10" s="57">
        <f>LOOKUP($S10,$T$39:$T$62,$V$39:$V$62)*(T10+T5)</f>
        <v>351.32050649481619</v>
      </c>
      <c r="W10" s="57">
        <f>LOOKUP($S10,$X$40:$X$45,Y40:Y45)</f>
        <v>27</v>
      </c>
      <c r="X10" s="57">
        <f>LOOKUP($S10,$X$40:$X$45,Z40:Z45)</f>
        <v>13</v>
      </c>
      <c r="Y10" s="2"/>
      <c r="Z10" s="2"/>
      <c r="AA10" s="2"/>
      <c r="AC10" s="4"/>
      <c r="AD10" s="4"/>
      <c r="AE10" s="4"/>
    </row>
    <row r="11" spans="1:31" ht="15.75" x14ac:dyDescent="0.25">
      <c r="A11" s="98" t="s">
        <v>32</v>
      </c>
      <c r="B11" s="76">
        <v>150</v>
      </c>
      <c r="C11" s="76">
        <v>260</v>
      </c>
      <c r="D11" s="76">
        <v>350</v>
      </c>
      <c r="E11" s="76">
        <v>500</v>
      </c>
      <c r="F11" s="100">
        <f>(B10*B11+C11*C10+D11*D10+E10*E11)/(B10+C10+D10+E10)</f>
        <v>300</v>
      </c>
      <c r="H11" s="12"/>
      <c r="O11" s="12"/>
      <c r="Q11" s="162" t="s">
        <v>20</v>
      </c>
      <c r="R11" s="160">
        <f>$C$10</f>
        <v>10</v>
      </c>
      <c r="S11" s="160">
        <f>$C$11</f>
        <v>260</v>
      </c>
      <c r="T11" s="58">
        <f>((C12*(6.28+0.0188*S11))/((1-0.3*C12)*0.435))*1.05</f>
        <v>33.234955125177137</v>
      </c>
      <c r="U11" s="57">
        <f>LOOKUP($S11,$T$39:$T$62,$U$39:$U$62)*(T11+T6)</f>
        <v>760.12818429330287</v>
      </c>
      <c r="V11" s="57">
        <f>LOOKUP($S11,$T$39:$T$62,$V$39:$V$62)*(T11+T6)</f>
        <v>442.31596930860297</v>
      </c>
      <c r="W11" s="57">
        <f>LOOKUP($S11,$X$40:$X$45,Y40:Y45)</f>
        <v>30</v>
      </c>
      <c r="X11" s="57">
        <f>LOOKUP($S11,$X$40:$X$45,Z40:Z45)</f>
        <v>15</v>
      </c>
      <c r="Y11" s="2"/>
      <c r="Z11" s="2"/>
      <c r="AA11" s="2"/>
      <c r="AC11" s="4"/>
      <c r="AD11" s="4"/>
      <c r="AE11" s="4"/>
    </row>
    <row r="12" spans="1:31" ht="15.75" x14ac:dyDescent="0.25">
      <c r="A12" s="101" t="s">
        <v>33</v>
      </c>
      <c r="B12" s="76">
        <v>0.9</v>
      </c>
      <c r="C12" s="102">
        <v>0.9</v>
      </c>
      <c r="D12" s="102">
        <v>0.9</v>
      </c>
      <c r="E12" s="76">
        <v>0.8</v>
      </c>
      <c r="G12" s="103"/>
      <c r="H12" s="54"/>
      <c r="I12" s="55"/>
      <c r="J12" s="15"/>
      <c r="K12" s="12"/>
      <c r="L12" s="209"/>
      <c r="M12" s="15"/>
      <c r="N12" s="15"/>
      <c r="O12" s="12"/>
      <c r="Q12" s="162" t="s">
        <v>34</v>
      </c>
      <c r="R12" s="59">
        <f>$D$10</f>
        <v>10</v>
      </c>
      <c r="S12" s="161">
        <f>$D$11</f>
        <v>350</v>
      </c>
      <c r="T12" s="58">
        <f>((D12*(6.28+0.0188*S12))/((1-0.3*D12)*0.435))*1.05</f>
        <v>38.270193670288144</v>
      </c>
      <c r="U12" s="57">
        <f>LOOKUP($S12,$T$39:$T$62,$U$39:$U$62)*(T12+T7)</f>
        <v>872.77739135114405</v>
      </c>
      <c r="V12" s="57">
        <f>LOOKUP($S12,$T$39:$T$62,$V$39:$V$62)*(T12+T7)</f>
        <v>511.08585980021951</v>
      </c>
      <c r="W12" s="57">
        <f>LOOKUP($S12,$X$40:$X$45,Y40:Y45)</f>
        <v>33</v>
      </c>
      <c r="X12" s="57">
        <f>LOOKUP($S12,$X$40:$X$45,Z40:Z45)</f>
        <v>20</v>
      </c>
      <c r="Y12" s="2"/>
      <c r="Z12" s="2"/>
      <c r="AA12" s="2"/>
      <c r="AC12" s="4"/>
      <c r="AD12" s="4"/>
      <c r="AE12" s="4"/>
    </row>
    <row r="13" spans="1:31" ht="15.75" x14ac:dyDescent="0.25">
      <c r="A13" s="104" t="s">
        <v>35</v>
      </c>
      <c r="B13" s="76">
        <v>550</v>
      </c>
      <c r="C13" s="102">
        <v>550</v>
      </c>
      <c r="D13" s="102">
        <v>550</v>
      </c>
      <c r="E13" s="76">
        <v>600</v>
      </c>
      <c r="I13" s="84"/>
      <c r="J13" s="50"/>
      <c r="K13" s="50"/>
      <c r="L13" s="50"/>
      <c r="M13" s="50"/>
      <c r="N13" s="18"/>
      <c r="O13" s="19"/>
      <c r="Q13" s="162" t="s">
        <v>25</v>
      </c>
      <c r="R13" s="160">
        <f>$E$10</f>
        <v>10</v>
      </c>
      <c r="S13" s="163">
        <f>$E$11</f>
        <v>500</v>
      </c>
      <c r="T13" s="58">
        <f>((E12*(6.28+0.0188*S13))/((1-0.3*E12)*0.435))*1.05</f>
        <v>39.840290381125236</v>
      </c>
      <c r="U13" s="57">
        <f>LOOKUP($S13,$T$39:$T$62,$U$39:$U$62)*(T13+T8)</f>
        <v>962.79749431032315</v>
      </c>
      <c r="V13" s="57">
        <f>LOOKUP($S13,$T$39:$T$62,$V$39:$V$62)*(T13+T8)</f>
        <v>601.74843394395191</v>
      </c>
      <c r="W13" s="57">
        <f>LOOKUP($S13,$X$40:$X$45,Y40:Y45)</f>
        <v>40</v>
      </c>
      <c r="X13" s="57">
        <f>LOOKUP($S13,$X$40:$X$45,Z40:Z45)</f>
        <v>33</v>
      </c>
      <c r="Y13" s="2"/>
      <c r="Z13" s="2"/>
      <c r="AA13" s="2"/>
      <c r="AC13" s="4"/>
      <c r="AD13" s="4"/>
      <c r="AE13" s="4"/>
    </row>
    <row r="14" spans="1:31" ht="15.75" x14ac:dyDescent="0.25">
      <c r="A14" s="212" t="s">
        <v>36</v>
      </c>
      <c r="B14" s="51">
        <f>(B13-B11)/B12</f>
        <v>444.44444444444446</v>
      </c>
      <c r="C14" s="51">
        <f>(C13-C11)/C12</f>
        <v>322.22222222222223</v>
      </c>
      <c r="D14" s="51">
        <f>(D13-D11)/D12</f>
        <v>222.22222222222223</v>
      </c>
      <c r="E14" s="51">
        <f>(E13-E11)/E12</f>
        <v>125</v>
      </c>
      <c r="I14" s="88"/>
      <c r="J14" s="86"/>
      <c r="K14" s="86"/>
      <c r="L14" s="89"/>
      <c r="M14" s="89"/>
      <c r="N14" s="87"/>
      <c r="O14" s="19"/>
      <c r="Q14" s="159" t="s">
        <v>37</v>
      </c>
      <c r="R14" s="160"/>
      <c r="S14" s="160"/>
      <c r="T14" s="61">
        <f t="shared" ref="T14:V18" si="0">T4+T9</f>
        <v>3045.7476896423586</v>
      </c>
      <c r="U14" s="61">
        <f t="shared" si="0"/>
        <v>34844.228063844159</v>
      </c>
      <c r="V14" s="61">
        <f t="shared" si="0"/>
        <v>20469.989721455175</v>
      </c>
      <c r="W14" s="61">
        <f>W13+W11+W9+W6+W7</f>
        <v>1478</v>
      </c>
      <c r="X14" s="62">
        <f>X13+X9</f>
        <v>895</v>
      </c>
      <c r="Y14" s="2"/>
      <c r="Z14" s="2"/>
      <c r="AA14" s="2"/>
      <c r="AC14" s="4"/>
      <c r="AD14" s="4"/>
      <c r="AE14" s="4"/>
    </row>
    <row r="15" spans="1:31" ht="15.75" x14ac:dyDescent="0.25">
      <c r="A15" s="104" t="s">
        <v>38</v>
      </c>
      <c r="B15" s="157">
        <f>$F$4+B14</f>
        <v>38361.444444444445</v>
      </c>
      <c r="C15" s="157">
        <f>$F$4+C14</f>
        <v>38239.222222222219</v>
      </c>
      <c r="D15" s="157">
        <f>$F$4+D14</f>
        <v>38139.222222222219</v>
      </c>
      <c r="E15" s="157">
        <f>$F$4+E14</f>
        <v>38042</v>
      </c>
      <c r="H15" s="54"/>
      <c r="I15" s="15"/>
      <c r="J15" s="15"/>
      <c r="K15" s="15"/>
      <c r="L15" s="15"/>
      <c r="M15" s="15"/>
      <c r="N15" s="15"/>
      <c r="O15" s="19"/>
      <c r="Q15" s="92" t="s">
        <v>19</v>
      </c>
      <c r="R15" s="160">
        <f>$B$10</f>
        <v>14</v>
      </c>
      <c r="S15" s="161">
        <f>$B$11</f>
        <v>150</v>
      </c>
      <c r="T15" s="57">
        <f t="shared" si="0"/>
        <v>48.458000895836719</v>
      </c>
      <c r="U15" s="57">
        <f t="shared" si="0"/>
        <v>634.79981173546105</v>
      </c>
      <c r="V15" s="57">
        <f t="shared" si="0"/>
        <v>351.32050649481619</v>
      </c>
      <c r="W15" s="57">
        <f t="shared" ref="W15:X18" si="1">W5+W10</f>
        <v>27</v>
      </c>
      <c r="X15" s="57">
        <f t="shared" si="1"/>
        <v>13</v>
      </c>
      <c r="Y15" s="2"/>
      <c r="Z15" s="2"/>
      <c r="AA15" s="2"/>
      <c r="AC15" s="4"/>
      <c r="AD15" s="4"/>
      <c r="AE15" s="4"/>
    </row>
    <row r="16" spans="1:31" ht="15.75" x14ac:dyDescent="0.25">
      <c r="A16" s="105"/>
      <c r="B16" s="106"/>
      <c r="C16" s="106"/>
      <c r="D16" s="106"/>
      <c r="E16" s="106"/>
      <c r="H16" s="19"/>
      <c r="O16" s="19"/>
      <c r="Q16" s="162" t="s">
        <v>20</v>
      </c>
      <c r="R16" s="160">
        <f>$C$10</f>
        <v>10</v>
      </c>
      <c r="S16" s="160">
        <f>$C$11</f>
        <v>260</v>
      </c>
      <c r="T16" s="57">
        <f t="shared" si="0"/>
        <v>65.528291749422664</v>
      </c>
      <c r="U16" s="57">
        <f t="shared" si="0"/>
        <v>760.12818429330287</v>
      </c>
      <c r="V16" s="57">
        <f t="shared" si="0"/>
        <v>442.31596930860297</v>
      </c>
      <c r="W16" s="57">
        <f t="shared" si="1"/>
        <v>30</v>
      </c>
      <c r="X16" s="57">
        <f t="shared" si="1"/>
        <v>15</v>
      </c>
      <c r="Y16" s="2"/>
      <c r="Z16" s="2"/>
      <c r="AA16" s="2"/>
      <c r="AC16" s="4"/>
      <c r="AD16" s="4"/>
      <c r="AE16" s="4"/>
    </row>
    <row r="17" spans="1:66" x14ac:dyDescent="0.2">
      <c r="A17" s="85"/>
      <c r="B17" s="86"/>
      <c r="C17" s="86"/>
      <c r="D17" s="86"/>
      <c r="E17" s="86"/>
      <c r="G17" s="2"/>
      <c r="H17" s="19"/>
      <c r="O17" s="19"/>
      <c r="Q17" s="162" t="s">
        <v>34</v>
      </c>
      <c r="R17" s="59">
        <f>$D$10</f>
        <v>10</v>
      </c>
      <c r="S17" s="161">
        <f>$D$11</f>
        <v>350</v>
      </c>
      <c r="T17" s="57">
        <f t="shared" si="0"/>
        <v>78.628593815418384</v>
      </c>
      <c r="U17" s="57">
        <f t="shared" si="0"/>
        <v>872.77739135114405</v>
      </c>
      <c r="V17" s="57">
        <f t="shared" si="0"/>
        <v>511.08585980021951</v>
      </c>
      <c r="W17" s="57">
        <f t="shared" si="1"/>
        <v>33</v>
      </c>
      <c r="X17" s="57">
        <f t="shared" si="1"/>
        <v>20</v>
      </c>
      <c r="Y17" s="2"/>
      <c r="Z17" s="2"/>
      <c r="AA17" s="2"/>
      <c r="AC17" s="4"/>
      <c r="AD17" s="4"/>
      <c r="AE17" s="4"/>
    </row>
    <row r="18" spans="1:66" x14ac:dyDescent="0.2">
      <c r="A18" s="85"/>
      <c r="B18" s="86"/>
      <c r="C18" s="86"/>
      <c r="D18" s="86"/>
      <c r="E18" s="86"/>
      <c r="G18" s="2"/>
      <c r="H18" s="19"/>
      <c r="O18" s="19"/>
      <c r="Q18" s="162" t="s">
        <v>25</v>
      </c>
      <c r="R18" s="160">
        <f>$E$10</f>
        <v>10</v>
      </c>
      <c r="S18" s="163">
        <f>$E$11</f>
        <v>500</v>
      </c>
      <c r="T18" s="57">
        <f t="shared" si="0"/>
        <v>92.576682145223373</v>
      </c>
      <c r="U18" s="57">
        <f t="shared" si="0"/>
        <v>962.79749431032315</v>
      </c>
      <c r="V18" s="57">
        <f t="shared" si="0"/>
        <v>601.74843394395191</v>
      </c>
      <c r="W18" s="57">
        <f t="shared" si="1"/>
        <v>40</v>
      </c>
      <c r="X18" s="57">
        <f t="shared" si="1"/>
        <v>33</v>
      </c>
      <c r="Y18" s="2"/>
      <c r="Z18" s="2"/>
      <c r="AA18" s="2"/>
      <c r="AC18" s="4"/>
      <c r="AD18" s="4"/>
      <c r="AE18" s="4"/>
    </row>
    <row r="19" spans="1:66" ht="18" x14ac:dyDescent="0.25">
      <c r="G19" s="2"/>
      <c r="H19" s="19"/>
      <c r="I19" s="20"/>
      <c r="J19" s="37"/>
      <c r="K19" s="19"/>
      <c r="L19" s="19"/>
      <c r="M19" s="19"/>
      <c r="N19" s="19"/>
      <c r="O19" s="19"/>
      <c r="P19" s="56"/>
      <c r="Q19" s="211"/>
      <c r="R19" s="21"/>
      <c r="S19" s="2"/>
      <c r="T19" s="2"/>
      <c r="U19" s="2"/>
      <c r="V19" s="2"/>
      <c r="W19" s="2"/>
      <c r="X19" s="2"/>
      <c r="Y19" s="2"/>
      <c r="Z19" s="2"/>
      <c r="AA19" s="2"/>
      <c r="AC19" s="4"/>
      <c r="AD19" s="4"/>
      <c r="AE19" s="4"/>
    </row>
    <row r="20" spans="1:66" ht="15.75" x14ac:dyDescent="0.25">
      <c r="B20" s="270" t="s">
        <v>130</v>
      </c>
      <c r="C20" s="270"/>
      <c r="D20" s="270"/>
      <c r="E20" s="270"/>
      <c r="F20" s="2"/>
      <c r="G20" s="269" t="s">
        <v>40</v>
      </c>
      <c r="H20" s="269"/>
      <c r="I20" s="269"/>
      <c r="J20" s="269"/>
      <c r="K20" s="269"/>
      <c r="L20" s="269"/>
      <c r="M20" s="269"/>
      <c r="N20" s="19"/>
      <c r="O20" s="19"/>
      <c r="P20" s="19"/>
      <c r="Q20" s="19"/>
      <c r="R20" s="19"/>
      <c r="S20" s="19"/>
      <c r="T20" s="19"/>
      <c r="U20" s="11"/>
      <c r="V20" s="11"/>
      <c r="W20" s="11"/>
      <c r="X20" s="11"/>
      <c r="Y20" s="91" t="s">
        <v>41</v>
      </c>
      <c r="Z20" s="211"/>
      <c r="AA20" s="19"/>
      <c r="AB20" s="19"/>
      <c r="AC20" s="2"/>
      <c r="AD20" s="2"/>
      <c r="AE20" s="2"/>
      <c r="AF20" s="2"/>
      <c r="AG20" s="2"/>
      <c r="AH20" s="2"/>
      <c r="AI20" s="2"/>
      <c r="AJ20" s="2"/>
      <c r="AK20" s="2"/>
      <c r="AM20" s="4"/>
      <c r="AN20" s="4"/>
      <c r="AO20" s="4"/>
    </row>
    <row r="21" spans="1:66" s="4" customFormat="1" ht="15.75" x14ac:dyDescent="0.25">
      <c r="A21" s="108" t="s">
        <v>42</v>
      </c>
      <c r="B21" s="109">
        <v>1</v>
      </c>
      <c r="C21" s="109">
        <v>2</v>
      </c>
      <c r="D21" s="109">
        <v>3</v>
      </c>
      <c r="E21" s="109">
        <v>4</v>
      </c>
      <c r="F21" s="67" t="s">
        <v>43</v>
      </c>
      <c r="G21" s="67" t="s">
        <v>44</v>
      </c>
      <c r="H21" s="67" t="s">
        <v>45</v>
      </c>
      <c r="I21" s="67" t="s">
        <v>46</v>
      </c>
      <c r="J21" s="67" t="s">
        <v>47</v>
      </c>
      <c r="K21" s="67" t="s">
        <v>48</v>
      </c>
      <c r="L21" s="67" t="s">
        <v>49</v>
      </c>
      <c r="M21" s="67" t="s">
        <v>50</v>
      </c>
      <c r="N21" s="67" t="s">
        <v>51</v>
      </c>
      <c r="O21" s="74" t="s">
        <v>52</v>
      </c>
      <c r="P21" s="74" t="s">
        <v>53</v>
      </c>
      <c r="Q21" s="263" t="s">
        <v>54</v>
      </c>
      <c r="R21" s="263"/>
      <c r="S21" s="263"/>
      <c r="T21" s="263"/>
      <c r="U21" s="258" t="s">
        <v>55</v>
      </c>
      <c r="V21" s="259"/>
      <c r="W21" s="259"/>
      <c r="X21" s="260"/>
      <c r="Y21" s="258" t="s">
        <v>7</v>
      </c>
      <c r="Z21" s="259"/>
      <c r="AA21" s="259"/>
      <c r="AB21" s="260"/>
      <c r="AC21" s="258" t="s">
        <v>46</v>
      </c>
      <c r="AD21" s="259"/>
      <c r="AE21" s="259"/>
      <c r="AF21" s="260"/>
      <c r="AG21" s="258" t="s">
        <v>47</v>
      </c>
      <c r="AH21" s="259"/>
      <c r="AI21" s="259"/>
      <c r="AJ21" s="259"/>
      <c r="AK21" s="258" t="s">
        <v>48</v>
      </c>
      <c r="AL21" s="259"/>
      <c r="AM21" s="259"/>
      <c r="AN21" s="259"/>
      <c r="AO21" s="258" t="s">
        <v>49</v>
      </c>
      <c r="AP21" s="259"/>
      <c r="AQ21" s="259"/>
      <c r="AR21" s="259"/>
      <c r="AS21" s="258" t="s">
        <v>50</v>
      </c>
      <c r="AT21" s="259"/>
      <c r="AU21" s="259"/>
      <c r="AV21" s="259"/>
      <c r="AW21" s="73" t="s">
        <v>56</v>
      </c>
      <c r="AX21" s="73"/>
      <c r="AY21" s="73"/>
      <c r="AZ21" s="73"/>
      <c r="BA21" s="75" t="s">
        <v>57</v>
      </c>
      <c r="BB21" s="75"/>
      <c r="BC21" s="75"/>
      <c r="BD21" s="75"/>
      <c r="BE21" s="2" t="s">
        <v>53</v>
      </c>
      <c r="BF21" s="2"/>
      <c r="BG21" s="2"/>
      <c r="BH21" s="2"/>
      <c r="BI21" s="1"/>
      <c r="BM21" s="1"/>
      <c r="BN21" s="1"/>
    </row>
    <row r="22" spans="1:66" x14ac:dyDescent="0.2">
      <c r="A22" s="110" t="s">
        <v>58</v>
      </c>
      <c r="B22" s="102">
        <v>80</v>
      </c>
      <c r="C22" s="102">
        <v>80</v>
      </c>
      <c r="D22" s="102">
        <v>41</v>
      </c>
      <c r="E22" s="102">
        <v>0</v>
      </c>
      <c r="F22" s="31">
        <v>0.17</v>
      </c>
      <c r="G22" s="6">
        <v>1</v>
      </c>
      <c r="H22" s="7">
        <v>9.8000000000000007</v>
      </c>
      <c r="I22" s="8">
        <v>68</v>
      </c>
      <c r="J22" s="8">
        <v>154</v>
      </c>
      <c r="K22" s="8">
        <v>612</v>
      </c>
      <c r="L22" s="7">
        <v>5.5</v>
      </c>
      <c r="M22" s="7">
        <v>2.8</v>
      </c>
      <c r="N22" s="47">
        <v>17</v>
      </c>
      <c r="O22" s="9">
        <v>0</v>
      </c>
      <c r="P22" s="9">
        <v>0</v>
      </c>
      <c r="Q22" s="41">
        <f t="shared" ref="Q22:Q32" si="2">B22*$F22</f>
        <v>13.600000000000001</v>
      </c>
      <c r="R22" s="41">
        <f t="shared" ref="R22:R32" si="3">C22*$F22</f>
        <v>13.600000000000001</v>
      </c>
      <c r="S22" s="41">
        <f t="shared" ref="S22:S32" si="4">D22*$F22</f>
        <v>6.9700000000000006</v>
      </c>
      <c r="T22" s="41">
        <f t="shared" ref="T22:T32" si="5">E22*$F22</f>
        <v>0</v>
      </c>
      <c r="U22" s="41">
        <f t="shared" ref="U22:U32" si="6">Q22*$G22</f>
        <v>13.600000000000001</v>
      </c>
      <c r="V22" s="41">
        <f t="shared" ref="V22:V32" si="7">R22*$G22</f>
        <v>13.600000000000001</v>
      </c>
      <c r="W22" s="41">
        <f t="shared" ref="W22:W32" si="8">S22*$G22</f>
        <v>6.9700000000000006</v>
      </c>
      <c r="X22" s="41">
        <f t="shared" ref="X22:X32" si="9">T22*$G22</f>
        <v>0</v>
      </c>
      <c r="Y22" s="41">
        <f t="shared" ref="Y22:Y32" si="10">$H22*Q22</f>
        <v>133.28000000000003</v>
      </c>
      <c r="Z22" s="41">
        <f t="shared" ref="Z22:Z32" si="11">$H22*R22</f>
        <v>133.28000000000003</v>
      </c>
      <c r="AA22" s="41">
        <f>$H22*S22</f>
        <v>68.306000000000012</v>
      </c>
      <c r="AB22" s="41">
        <f t="shared" ref="AB22:AB32" si="12">$H22*T22</f>
        <v>0</v>
      </c>
      <c r="AC22" s="41">
        <f t="shared" ref="AC22:AC32" si="13">Q22*$I22</f>
        <v>924.80000000000007</v>
      </c>
      <c r="AD22" s="41">
        <f t="shared" ref="AD22:AD32" si="14">R22*$I22</f>
        <v>924.80000000000007</v>
      </c>
      <c r="AE22" s="41">
        <f t="shared" ref="AE22:AE32" si="15">S22*$I22</f>
        <v>473.96000000000004</v>
      </c>
      <c r="AF22" s="41">
        <f t="shared" ref="AF22:AF32" si="16">T22*$I22</f>
        <v>0</v>
      </c>
      <c r="AG22" s="41">
        <f t="shared" ref="AG22:AG32" si="17">Q22*$J22</f>
        <v>2094.4</v>
      </c>
      <c r="AH22" s="41">
        <f t="shared" ref="AH22:AH32" si="18">R22*$J22</f>
        <v>2094.4</v>
      </c>
      <c r="AI22" s="41">
        <f t="shared" ref="AI22:AI32" si="19">S22*$J22</f>
        <v>1073.3800000000001</v>
      </c>
      <c r="AJ22" s="41">
        <f t="shared" ref="AJ22:AJ32" si="20">T22*$J22</f>
        <v>0</v>
      </c>
      <c r="AK22" s="41">
        <f t="shared" ref="AK22:AK32" si="21">Q22*$K22</f>
        <v>8323.2000000000007</v>
      </c>
      <c r="AL22" s="41">
        <f t="shared" ref="AL22:AL32" si="22">R22*$K22</f>
        <v>8323.2000000000007</v>
      </c>
      <c r="AM22" s="41">
        <f t="shared" ref="AM22:AM32" si="23">S22*$K22</f>
        <v>4265.6400000000003</v>
      </c>
      <c r="AN22" s="41">
        <f t="shared" ref="AN22:AN32" si="24">T22*$K22</f>
        <v>0</v>
      </c>
      <c r="AO22" s="41">
        <f t="shared" ref="AO22:AO32" si="25">Q22*$L22</f>
        <v>74.800000000000011</v>
      </c>
      <c r="AP22" s="41">
        <f t="shared" ref="AP22:AP32" si="26">R22*$L22</f>
        <v>74.800000000000011</v>
      </c>
      <c r="AQ22" s="41">
        <f t="shared" ref="AQ22:AQ32" si="27">S22*$L22</f>
        <v>38.335000000000001</v>
      </c>
      <c r="AR22" s="41">
        <f t="shared" ref="AR22:AR32" si="28">T22*$L22</f>
        <v>0</v>
      </c>
      <c r="AS22" s="41">
        <f t="shared" ref="AS22:AS32" si="29">Q22*$M22</f>
        <v>38.08</v>
      </c>
      <c r="AT22" s="41">
        <f t="shared" ref="AT22:AT32" si="30">R22*$M22</f>
        <v>38.08</v>
      </c>
      <c r="AU22" s="41">
        <f t="shared" ref="AU22:AU32" si="31">S22*$M22</f>
        <v>19.516000000000002</v>
      </c>
      <c r="AV22" s="41">
        <f t="shared" ref="AV22:AV32" si="32">T22*$M22</f>
        <v>0</v>
      </c>
      <c r="AW22" s="43">
        <f t="shared" ref="AW22:AW32" si="33">$N22*B22/100</f>
        <v>13.6</v>
      </c>
      <c r="AX22" s="43">
        <f t="shared" ref="AX22:AX32" si="34">$N22*C22/100</f>
        <v>13.6</v>
      </c>
      <c r="AY22" s="43">
        <f t="shared" ref="AY22:AY32" si="35">$N22*D22/100</f>
        <v>6.97</v>
      </c>
      <c r="AZ22" s="43">
        <f t="shared" ref="AZ22:AZ32" si="36">$N22*E22/100</f>
        <v>0</v>
      </c>
      <c r="BA22" s="43">
        <f t="shared" ref="BA22:BA32" si="37">$O22*AG22</f>
        <v>0</v>
      </c>
      <c r="BB22" s="43">
        <f t="shared" ref="BB22:BB32" si="38">$O22*AH22</f>
        <v>0</v>
      </c>
      <c r="BC22" s="43">
        <f t="shared" ref="BC22:BC32" si="39">$O22*AI22</f>
        <v>0</v>
      </c>
      <c r="BD22" s="43">
        <f t="shared" ref="BD22:BD32" si="40">$O22*AJ22</f>
        <v>0</v>
      </c>
      <c r="BE22" s="42">
        <f t="shared" ref="BE22:BE32" si="41">$P22*Q22</f>
        <v>0</v>
      </c>
      <c r="BF22" s="42">
        <f t="shared" ref="BF22:BF32" si="42">$P22*R22</f>
        <v>0</v>
      </c>
      <c r="BG22" s="42">
        <f t="shared" ref="BG22:BG32" si="43">$P22*S22</f>
        <v>0</v>
      </c>
      <c r="BH22" s="42">
        <f t="shared" ref="BH22:BH32" si="44">$P22*T22</f>
        <v>0</v>
      </c>
      <c r="BJ22" s="4"/>
      <c r="BK22" s="4"/>
      <c r="BL22" s="4"/>
    </row>
    <row r="23" spans="1:66" s="4" customFormat="1" x14ac:dyDescent="0.2">
      <c r="A23" s="110" t="s">
        <v>59</v>
      </c>
      <c r="B23" s="102"/>
      <c r="C23" s="102"/>
      <c r="D23" s="102">
        <v>24</v>
      </c>
      <c r="E23" s="102"/>
      <c r="F23" s="31">
        <v>0.28999999999999998</v>
      </c>
      <c r="G23" s="6">
        <v>1</v>
      </c>
      <c r="H23" s="7">
        <v>10.3</v>
      </c>
      <c r="I23" s="8">
        <v>70</v>
      </c>
      <c r="J23" s="8">
        <v>123</v>
      </c>
      <c r="K23" s="8">
        <v>570</v>
      </c>
      <c r="L23" s="7">
        <v>6</v>
      </c>
      <c r="M23" s="7">
        <v>2.7</v>
      </c>
      <c r="N23" s="47">
        <v>29</v>
      </c>
      <c r="O23" s="78">
        <v>0</v>
      </c>
      <c r="P23" s="78">
        <v>0</v>
      </c>
      <c r="Q23" s="41">
        <f t="shared" si="2"/>
        <v>0</v>
      </c>
      <c r="R23" s="41">
        <f t="shared" si="3"/>
        <v>0</v>
      </c>
      <c r="S23" s="41">
        <f t="shared" si="4"/>
        <v>6.9599999999999991</v>
      </c>
      <c r="T23" s="41">
        <f t="shared" si="5"/>
        <v>0</v>
      </c>
      <c r="U23" s="41">
        <f t="shared" si="6"/>
        <v>0</v>
      </c>
      <c r="V23" s="41">
        <f t="shared" si="7"/>
        <v>0</v>
      </c>
      <c r="W23" s="41">
        <f t="shared" si="8"/>
        <v>6.9599999999999991</v>
      </c>
      <c r="X23" s="41">
        <f t="shared" si="9"/>
        <v>0</v>
      </c>
      <c r="Y23" s="41">
        <f t="shared" si="10"/>
        <v>0</v>
      </c>
      <c r="Z23" s="41">
        <f t="shared" si="11"/>
        <v>0</v>
      </c>
      <c r="AA23" s="41">
        <f t="shared" ref="AA23:AA32" si="45">$H23*S23</f>
        <v>71.688000000000002</v>
      </c>
      <c r="AB23" s="41">
        <f t="shared" si="12"/>
        <v>0</v>
      </c>
      <c r="AC23" s="41">
        <f t="shared" si="13"/>
        <v>0</v>
      </c>
      <c r="AD23" s="41">
        <f t="shared" si="14"/>
        <v>0</v>
      </c>
      <c r="AE23" s="41">
        <f t="shared" si="15"/>
        <v>487.19999999999993</v>
      </c>
      <c r="AF23" s="41">
        <f t="shared" si="16"/>
        <v>0</v>
      </c>
      <c r="AG23" s="41">
        <f t="shared" si="17"/>
        <v>0</v>
      </c>
      <c r="AH23" s="41">
        <f t="shared" si="18"/>
        <v>0</v>
      </c>
      <c r="AI23" s="41">
        <f t="shared" si="19"/>
        <v>856.07999999999993</v>
      </c>
      <c r="AJ23" s="41">
        <f t="shared" si="20"/>
        <v>0</v>
      </c>
      <c r="AK23" s="41">
        <f t="shared" si="21"/>
        <v>0</v>
      </c>
      <c r="AL23" s="41">
        <f t="shared" si="22"/>
        <v>0</v>
      </c>
      <c r="AM23" s="41">
        <f t="shared" si="23"/>
        <v>3967.1999999999994</v>
      </c>
      <c r="AN23" s="41">
        <f t="shared" si="24"/>
        <v>0</v>
      </c>
      <c r="AO23" s="41">
        <f t="shared" si="25"/>
        <v>0</v>
      </c>
      <c r="AP23" s="41">
        <f t="shared" si="26"/>
        <v>0</v>
      </c>
      <c r="AQ23" s="41">
        <f t="shared" si="27"/>
        <v>41.759999999999991</v>
      </c>
      <c r="AR23" s="41">
        <f t="shared" si="28"/>
        <v>0</v>
      </c>
      <c r="AS23" s="41">
        <f t="shared" si="29"/>
        <v>0</v>
      </c>
      <c r="AT23" s="41">
        <f t="shared" si="30"/>
        <v>0</v>
      </c>
      <c r="AU23" s="41">
        <f t="shared" si="31"/>
        <v>18.791999999999998</v>
      </c>
      <c r="AV23" s="41">
        <f t="shared" si="32"/>
        <v>0</v>
      </c>
      <c r="AW23" s="43">
        <f t="shared" si="33"/>
        <v>0</v>
      </c>
      <c r="AX23" s="43">
        <f t="shared" si="34"/>
        <v>0</v>
      </c>
      <c r="AY23" s="43">
        <f t="shared" si="35"/>
        <v>6.96</v>
      </c>
      <c r="AZ23" s="43">
        <f t="shared" si="36"/>
        <v>0</v>
      </c>
      <c r="BA23" s="43">
        <f t="shared" si="37"/>
        <v>0</v>
      </c>
      <c r="BB23" s="43">
        <f t="shared" si="38"/>
        <v>0</v>
      </c>
      <c r="BC23" s="43">
        <f t="shared" si="39"/>
        <v>0</v>
      </c>
      <c r="BD23" s="43">
        <f t="shared" si="40"/>
        <v>0</v>
      </c>
      <c r="BE23" s="42">
        <f t="shared" si="41"/>
        <v>0</v>
      </c>
      <c r="BF23" s="42">
        <f t="shared" si="42"/>
        <v>0</v>
      </c>
      <c r="BG23" s="42">
        <f t="shared" si="43"/>
        <v>0</v>
      </c>
      <c r="BH23" s="42">
        <f t="shared" si="44"/>
        <v>0</v>
      </c>
      <c r="BI23" s="1"/>
      <c r="BM23" s="1"/>
      <c r="BN23" s="1"/>
    </row>
    <row r="24" spans="1:66" s="4" customFormat="1" x14ac:dyDescent="0.2">
      <c r="A24" s="110" t="s">
        <v>60</v>
      </c>
      <c r="B24" s="102">
        <v>14</v>
      </c>
      <c r="C24" s="102"/>
      <c r="D24" s="102"/>
      <c r="E24" s="102"/>
      <c r="F24" s="31">
        <v>0.84</v>
      </c>
      <c r="G24" s="6">
        <v>1</v>
      </c>
      <c r="H24" s="7">
        <v>10</v>
      </c>
      <c r="I24" s="8">
        <v>69</v>
      </c>
      <c r="J24" s="8">
        <v>90</v>
      </c>
      <c r="K24" s="8">
        <v>650</v>
      </c>
      <c r="L24" s="7">
        <v>5</v>
      </c>
      <c r="M24" s="7">
        <v>3</v>
      </c>
      <c r="N24" s="47">
        <v>150</v>
      </c>
      <c r="O24" s="78">
        <v>0</v>
      </c>
      <c r="P24" s="78">
        <v>0</v>
      </c>
      <c r="Q24" s="41">
        <f t="shared" si="2"/>
        <v>11.76</v>
      </c>
      <c r="R24" s="41">
        <f t="shared" si="3"/>
        <v>0</v>
      </c>
      <c r="S24" s="41">
        <f t="shared" si="4"/>
        <v>0</v>
      </c>
      <c r="T24" s="41">
        <f t="shared" si="5"/>
        <v>0</v>
      </c>
      <c r="U24" s="41">
        <f t="shared" si="6"/>
        <v>11.76</v>
      </c>
      <c r="V24" s="41">
        <f t="shared" si="7"/>
        <v>0</v>
      </c>
      <c r="W24" s="41">
        <f t="shared" si="8"/>
        <v>0</v>
      </c>
      <c r="X24" s="41">
        <f t="shared" si="9"/>
        <v>0</v>
      </c>
      <c r="Y24" s="41">
        <f t="shared" si="10"/>
        <v>117.6</v>
      </c>
      <c r="Z24" s="41">
        <f t="shared" si="11"/>
        <v>0</v>
      </c>
      <c r="AA24" s="41">
        <f t="shared" si="45"/>
        <v>0</v>
      </c>
      <c r="AB24" s="41">
        <f t="shared" si="12"/>
        <v>0</v>
      </c>
      <c r="AC24" s="41">
        <f t="shared" si="13"/>
        <v>811.43999999999994</v>
      </c>
      <c r="AD24" s="41">
        <f t="shared" si="14"/>
        <v>0</v>
      </c>
      <c r="AE24" s="41">
        <f t="shared" si="15"/>
        <v>0</v>
      </c>
      <c r="AF24" s="41">
        <f t="shared" si="16"/>
        <v>0</v>
      </c>
      <c r="AG24" s="41">
        <f t="shared" si="17"/>
        <v>1058.4000000000001</v>
      </c>
      <c r="AH24" s="41">
        <f t="shared" si="18"/>
        <v>0</v>
      </c>
      <c r="AI24" s="41">
        <f t="shared" si="19"/>
        <v>0</v>
      </c>
      <c r="AJ24" s="41">
        <f t="shared" si="20"/>
        <v>0</v>
      </c>
      <c r="AK24" s="41">
        <f t="shared" si="21"/>
        <v>7644</v>
      </c>
      <c r="AL24" s="41">
        <f t="shared" si="22"/>
        <v>0</v>
      </c>
      <c r="AM24" s="41">
        <f t="shared" si="23"/>
        <v>0</v>
      </c>
      <c r="AN24" s="41">
        <f t="shared" si="24"/>
        <v>0</v>
      </c>
      <c r="AO24" s="41">
        <f t="shared" si="25"/>
        <v>58.8</v>
      </c>
      <c r="AP24" s="41">
        <f t="shared" si="26"/>
        <v>0</v>
      </c>
      <c r="AQ24" s="41">
        <f t="shared" si="27"/>
        <v>0</v>
      </c>
      <c r="AR24" s="41">
        <f t="shared" si="28"/>
        <v>0</v>
      </c>
      <c r="AS24" s="41">
        <f t="shared" si="29"/>
        <v>35.28</v>
      </c>
      <c r="AT24" s="41">
        <f t="shared" si="30"/>
        <v>0</v>
      </c>
      <c r="AU24" s="41">
        <f t="shared" si="31"/>
        <v>0</v>
      </c>
      <c r="AV24" s="41">
        <f t="shared" si="32"/>
        <v>0</v>
      </c>
      <c r="AW24" s="43">
        <f t="shared" si="33"/>
        <v>21</v>
      </c>
      <c r="AX24" s="43">
        <f t="shared" si="34"/>
        <v>0</v>
      </c>
      <c r="AY24" s="43">
        <f t="shared" si="35"/>
        <v>0</v>
      </c>
      <c r="AZ24" s="43">
        <f t="shared" si="36"/>
        <v>0</v>
      </c>
      <c r="BA24" s="43">
        <f t="shared" si="37"/>
        <v>0</v>
      </c>
      <c r="BB24" s="43">
        <f t="shared" si="38"/>
        <v>0</v>
      </c>
      <c r="BC24" s="43">
        <f t="shared" si="39"/>
        <v>0</v>
      </c>
      <c r="BD24" s="43">
        <f t="shared" si="40"/>
        <v>0</v>
      </c>
      <c r="BE24" s="42">
        <f t="shared" si="41"/>
        <v>0</v>
      </c>
      <c r="BF24" s="42">
        <f t="shared" si="42"/>
        <v>0</v>
      </c>
      <c r="BG24" s="42">
        <f t="shared" si="43"/>
        <v>0</v>
      </c>
      <c r="BH24" s="42">
        <f t="shared" si="44"/>
        <v>0</v>
      </c>
    </row>
    <row r="25" spans="1:66" x14ac:dyDescent="0.2">
      <c r="A25" s="110" t="s">
        <v>61</v>
      </c>
      <c r="B25" s="102"/>
      <c r="C25" s="102"/>
      <c r="D25" s="102"/>
      <c r="E25" s="102"/>
      <c r="F25" s="31">
        <v>0.27</v>
      </c>
      <c r="G25" s="6">
        <v>1</v>
      </c>
      <c r="H25" s="7">
        <v>12.8</v>
      </c>
      <c r="I25" s="8">
        <v>100</v>
      </c>
      <c r="J25" s="8">
        <v>90</v>
      </c>
      <c r="K25" s="8">
        <v>300</v>
      </c>
      <c r="L25" s="7">
        <v>8.8000000000000007</v>
      </c>
      <c r="M25" s="7">
        <v>0.8</v>
      </c>
      <c r="N25" s="47">
        <v>30</v>
      </c>
      <c r="O25" s="78">
        <v>1</v>
      </c>
      <c r="P25" s="78">
        <v>0</v>
      </c>
      <c r="Q25" s="41">
        <f t="shared" si="2"/>
        <v>0</v>
      </c>
      <c r="R25" s="41">
        <f t="shared" si="3"/>
        <v>0</v>
      </c>
      <c r="S25" s="41">
        <f t="shared" si="4"/>
        <v>0</v>
      </c>
      <c r="T25" s="41">
        <f t="shared" si="5"/>
        <v>0</v>
      </c>
      <c r="U25" s="41">
        <f t="shared" si="6"/>
        <v>0</v>
      </c>
      <c r="V25" s="41">
        <f t="shared" si="7"/>
        <v>0</v>
      </c>
      <c r="W25" s="41">
        <f t="shared" si="8"/>
        <v>0</v>
      </c>
      <c r="X25" s="41">
        <f t="shared" si="9"/>
        <v>0</v>
      </c>
      <c r="Y25" s="41">
        <f t="shared" si="10"/>
        <v>0</v>
      </c>
      <c r="Z25" s="41">
        <f t="shared" si="11"/>
        <v>0</v>
      </c>
      <c r="AA25" s="41">
        <f t="shared" si="45"/>
        <v>0</v>
      </c>
      <c r="AB25" s="41">
        <f t="shared" si="12"/>
        <v>0</v>
      </c>
      <c r="AC25" s="41">
        <f t="shared" si="13"/>
        <v>0</v>
      </c>
      <c r="AD25" s="41">
        <f t="shared" si="14"/>
        <v>0</v>
      </c>
      <c r="AE25" s="41">
        <f t="shared" si="15"/>
        <v>0</v>
      </c>
      <c r="AF25" s="41">
        <f t="shared" si="16"/>
        <v>0</v>
      </c>
      <c r="AG25" s="41">
        <f t="shared" si="17"/>
        <v>0</v>
      </c>
      <c r="AH25" s="41">
        <f t="shared" si="18"/>
        <v>0</v>
      </c>
      <c r="AI25" s="41">
        <f t="shared" si="19"/>
        <v>0</v>
      </c>
      <c r="AJ25" s="41">
        <f t="shared" si="20"/>
        <v>0</v>
      </c>
      <c r="AK25" s="41">
        <f t="shared" si="21"/>
        <v>0</v>
      </c>
      <c r="AL25" s="41">
        <f t="shared" si="22"/>
        <v>0</v>
      </c>
      <c r="AM25" s="41">
        <f t="shared" si="23"/>
        <v>0</v>
      </c>
      <c r="AN25" s="41">
        <f t="shared" si="24"/>
        <v>0</v>
      </c>
      <c r="AO25" s="41">
        <f t="shared" si="25"/>
        <v>0</v>
      </c>
      <c r="AP25" s="41">
        <f t="shared" si="26"/>
        <v>0</v>
      </c>
      <c r="AQ25" s="41">
        <f t="shared" si="27"/>
        <v>0</v>
      </c>
      <c r="AR25" s="41">
        <f t="shared" si="28"/>
        <v>0</v>
      </c>
      <c r="AS25" s="41">
        <f t="shared" si="29"/>
        <v>0</v>
      </c>
      <c r="AT25" s="41">
        <f t="shared" si="30"/>
        <v>0</v>
      </c>
      <c r="AU25" s="41">
        <f t="shared" si="31"/>
        <v>0</v>
      </c>
      <c r="AV25" s="41">
        <f t="shared" si="32"/>
        <v>0</v>
      </c>
      <c r="AW25" s="43">
        <f t="shared" si="33"/>
        <v>0</v>
      </c>
      <c r="AX25" s="43">
        <f t="shared" si="34"/>
        <v>0</v>
      </c>
      <c r="AY25" s="43">
        <f t="shared" si="35"/>
        <v>0</v>
      </c>
      <c r="AZ25" s="43">
        <f t="shared" si="36"/>
        <v>0</v>
      </c>
      <c r="BA25" s="43">
        <f t="shared" si="37"/>
        <v>0</v>
      </c>
      <c r="BB25" s="43">
        <f t="shared" si="38"/>
        <v>0</v>
      </c>
      <c r="BC25" s="43">
        <f t="shared" si="39"/>
        <v>0</v>
      </c>
      <c r="BD25" s="43">
        <f t="shared" si="40"/>
        <v>0</v>
      </c>
      <c r="BE25" s="42">
        <f t="shared" si="41"/>
        <v>0</v>
      </c>
      <c r="BF25" s="42">
        <f t="shared" si="42"/>
        <v>0</v>
      </c>
      <c r="BG25" s="42">
        <f t="shared" si="43"/>
        <v>0</v>
      </c>
      <c r="BH25" s="42">
        <f t="shared" si="44"/>
        <v>0</v>
      </c>
      <c r="BI25" s="4"/>
      <c r="BJ25" s="4"/>
      <c r="BK25" s="4"/>
      <c r="BL25" s="4"/>
    </row>
    <row r="26" spans="1:66" x14ac:dyDescent="0.2">
      <c r="A26" s="110" t="s">
        <v>131</v>
      </c>
      <c r="B26" s="102">
        <v>28</v>
      </c>
      <c r="C26" s="102">
        <v>24</v>
      </c>
      <c r="D26" s="102">
        <v>32</v>
      </c>
      <c r="E26" s="102">
        <v>33</v>
      </c>
      <c r="F26" s="31">
        <v>0.83</v>
      </c>
      <c r="G26" s="6">
        <v>0</v>
      </c>
      <c r="H26" s="7">
        <v>12.8</v>
      </c>
      <c r="I26" s="8">
        <v>84</v>
      </c>
      <c r="J26" s="8">
        <v>136</v>
      </c>
      <c r="K26" s="8">
        <v>260</v>
      </c>
      <c r="L26" s="7">
        <v>0.8</v>
      </c>
      <c r="M26" s="7">
        <v>3.9</v>
      </c>
      <c r="N26" s="47">
        <v>100</v>
      </c>
      <c r="O26" s="78">
        <v>0</v>
      </c>
      <c r="P26" s="78">
        <v>0</v>
      </c>
      <c r="Q26" s="41">
        <f t="shared" si="2"/>
        <v>23.24</v>
      </c>
      <c r="R26" s="41">
        <f t="shared" si="3"/>
        <v>19.919999999999998</v>
      </c>
      <c r="S26" s="41">
        <f t="shared" si="4"/>
        <v>26.56</v>
      </c>
      <c r="T26" s="41">
        <f t="shared" si="5"/>
        <v>27.389999999999997</v>
      </c>
      <c r="U26" s="41">
        <f t="shared" si="6"/>
        <v>0</v>
      </c>
      <c r="V26" s="41">
        <f t="shared" si="7"/>
        <v>0</v>
      </c>
      <c r="W26" s="41">
        <f t="shared" si="8"/>
        <v>0</v>
      </c>
      <c r="X26" s="41">
        <f t="shared" si="9"/>
        <v>0</v>
      </c>
      <c r="Y26" s="41">
        <f t="shared" si="10"/>
        <v>297.47199999999998</v>
      </c>
      <c r="Z26" s="41">
        <f t="shared" si="11"/>
        <v>254.976</v>
      </c>
      <c r="AA26" s="41">
        <f t="shared" si="45"/>
        <v>339.96800000000002</v>
      </c>
      <c r="AB26" s="41">
        <f t="shared" si="12"/>
        <v>350.59199999999998</v>
      </c>
      <c r="AC26" s="41">
        <f t="shared" si="13"/>
        <v>1952.1599999999999</v>
      </c>
      <c r="AD26" s="41">
        <f t="shared" si="14"/>
        <v>1673.2799999999997</v>
      </c>
      <c r="AE26" s="41">
        <f t="shared" si="15"/>
        <v>2231.04</v>
      </c>
      <c r="AF26" s="41">
        <f t="shared" si="16"/>
        <v>2300.7599999999998</v>
      </c>
      <c r="AG26" s="41">
        <f t="shared" si="17"/>
        <v>3160.64</v>
      </c>
      <c r="AH26" s="41">
        <f t="shared" si="18"/>
        <v>2709.12</v>
      </c>
      <c r="AI26" s="41">
        <f t="shared" si="19"/>
        <v>3612.16</v>
      </c>
      <c r="AJ26" s="41">
        <f t="shared" si="20"/>
        <v>3725.0399999999995</v>
      </c>
      <c r="AK26" s="41">
        <f t="shared" si="21"/>
        <v>6042.4</v>
      </c>
      <c r="AL26" s="41">
        <f t="shared" si="22"/>
        <v>5179.2</v>
      </c>
      <c r="AM26" s="41">
        <f t="shared" si="23"/>
        <v>6905.5999999999995</v>
      </c>
      <c r="AN26" s="41">
        <f t="shared" si="24"/>
        <v>7121.4</v>
      </c>
      <c r="AO26" s="41">
        <f t="shared" si="25"/>
        <v>18.591999999999999</v>
      </c>
      <c r="AP26" s="41">
        <f t="shared" si="26"/>
        <v>15.936</v>
      </c>
      <c r="AQ26" s="41">
        <f t="shared" si="27"/>
        <v>21.248000000000001</v>
      </c>
      <c r="AR26" s="41">
        <f t="shared" si="28"/>
        <v>21.911999999999999</v>
      </c>
      <c r="AS26" s="41">
        <f t="shared" si="29"/>
        <v>90.635999999999996</v>
      </c>
      <c r="AT26" s="41">
        <f t="shared" si="30"/>
        <v>77.687999999999988</v>
      </c>
      <c r="AU26" s="41">
        <f t="shared" si="31"/>
        <v>103.58399999999999</v>
      </c>
      <c r="AV26" s="41">
        <f t="shared" si="32"/>
        <v>106.82099999999998</v>
      </c>
      <c r="AW26" s="43">
        <f t="shared" si="33"/>
        <v>28</v>
      </c>
      <c r="AX26" s="43">
        <f t="shared" si="34"/>
        <v>24</v>
      </c>
      <c r="AY26" s="43">
        <f t="shared" si="35"/>
        <v>32</v>
      </c>
      <c r="AZ26" s="43">
        <f t="shared" si="36"/>
        <v>33</v>
      </c>
      <c r="BA26" s="43">
        <f t="shared" si="37"/>
        <v>0</v>
      </c>
      <c r="BB26" s="43">
        <f t="shared" si="38"/>
        <v>0</v>
      </c>
      <c r="BC26" s="43">
        <f t="shared" si="39"/>
        <v>0</v>
      </c>
      <c r="BD26" s="43">
        <f t="shared" si="40"/>
        <v>0</v>
      </c>
      <c r="BE26" s="42">
        <f t="shared" si="41"/>
        <v>0</v>
      </c>
      <c r="BF26" s="42">
        <f t="shared" si="42"/>
        <v>0</v>
      </c>
      <c r="BG26" s="42">
        <f t="shared" si="43"/>
        <v>0</v>
      </c>
      <c r="BH26" s="42">
        <f t="shared" si="44"/>
        <v>0</v>
      </c>
      <c r="BI26" s="4"/>
      <c r="BJ26" s="4"/>
      <c r="BK26" s="4"/>
      <c r="BL26" s="4"/>
      <c r="BM26" s="4"/>
      <c r="BN26" s="4"/>
    </row>
    <row r="27" spans="1:66" x14ac:dyDescent="0.2">
      <c r="A27" s="110" t="s">
        <v>132</v>
      </c>
      <c r="B27" s="102">
        <v>7</v>
      </c>
      <c r="C27" s="102">
        <v>5</v>
      </c>
      <c r="D27" s="102"/>
      <c r="E27" s="102"/>
      <c r="F27" s="31">
        <v>0.89</v>
      </c>
      <c r="G27" s="6">
        <v>0</v>
      </c>
      <c r="H27" s="7">
        <v>14</v>
      </c>
      <c r="I27" s="8">
        <v>157</v>
      </c>
      <c r="J27" s="8">
        <v>287</v>
      </c>
      <c r="K27" s="8">
        <v>281</v>
      </c>
      <c r="L27" s="7">
        <v>11.2</v>
      </c>
      <c r="M27" s="7">
        <v>5.6</v>
      </c>
      <c r="N27" s="47">
        <v>231</v>
      </c>
      <c r="O27" s="78">
        <v>1</v>
      </c>
      <c r="P27" s="78">
        <v>0</v>
      </c>
      <c r="Q27" s="41">
        <f t="shared" si="2"/>
        <v>6.23</v>
      </c>
      <c r="R27" s="41">
        <f t="shared" si="3"/>
        <v>4.45</v>
      </c>
      <c r="S27" s="41">
        <f t="shared" si="4"/>
        <v>0</v>
      </c>
      <c r="T27" s="41">
        <f t="shared" si="5"/>
        <v>0</v>
      </c>
      <c r="U27" s="41">
        <f t="shared" si="6"/>
        <v>0</v>
      </c>
      <c r="V27" s="41">
        <f t="shared" si="7"/>
        <v>0</v>
      </c>
      <c r="W27" s="41">
        <f t="shared" si="8"/>
        <v>0</v>
      </c>
      <c r="X27" s="41">
        <f t="shared" si="9"/>
        <v>0</v>
      </c>
      <c r="Y27" s="41">
        <f t="shared" si="10"/>
        <v>87.22</v>
      </c>
      <c r="Z27" s="41">
        <f t="shared" si="11"/>
        <v>62.300000000000004</v>
      </c>
      <c r="AA27" s="41">
        <f t="shared" si="45"/>
        <v>0</v>
      </c>
      <c r="AB27" s="41">
        <f t="shared" si="12"/>
        <v>0</v>
      </c>
      <c r="AC27" s="41">
        <f t="shared" si="13"/>
        <v>978.11</v>
      </c>
      <c r="AD27" s="41">
        <f t="shared" si="14"/>
        <v>698.65</v>
      </c>
      <c r="AE27" s="41">
        <f t="shared" si="15"/>
        <v>0</v>
      </c>
      <c r="AF27" s="41">
        <f t="shared" si="16"/>
        <v>0</v>
      </c>
      <c r="AG27" s="41">
        <f t="shared" si="17"/>
        <v>1788.0100000000002</v>
      </c>
      <c r="AH27" s="41">
        <f t="shared" si="18"/>
        <v>1277.1500000000001</v>
      </c>
      <c r="AI27" s="41">
        <f t="shared" si="19"/>
        <v>0</v>
      </c>
      <c r="AJ27" s="41">
        <f t="shared" si="20"/>
        <v>0</v>
      </c>
      <c r="AK27" s="41">
        <f t="shared" si="21"/>
        <v>1750.63</v>
      </c>
      <c r="AL27" s="41">
        <f t="shared" si="22"/>
        <v>1250.45</v>
      </c>
      <c r="AM27" s="41">
        <f t="shared" si="23"/>
        <v>0</v>
      </c>
      <c r="AN27" s="41">
        <f t="shared" si="24"/>
        <v>0</v>
      </c>
      <c r="AO27" s="41">
        <f t="shared" si="25"/>
        <v>69.775999999999996</v>
      </c>
      <c r="AP27" s="41">
        <f t="shared" si="26"/>
        <v>49.839999999999996</v>
      </c>
      <c r="AQ27" s="41">
        <f t="shared" si="27"/>
        <v>0</v>
      </c>
      <c r="AR27" s="41">
        <f t="shared" si="28"/>
        <v>0</v>
      </c>
      <c r="AS27" s="41">
        <f t="shared" si="29"/>
        <v>34.887999999999998</v>
      </c>
      <c r="AT27" s="41">
        <f t="shared" si="30"/>
        <v>24.919999999999998</v>
      </c>
      <c r="AU27" s="41">
        <f t="shared" si="31"/>
        <v>0</v>
      </c>
      <c r="AV27" s="41">
        <f t="shared" si="32"/>
        <v>0</v>
      </c>
      <c r="AW27" s="43">
        <f t="shared" si="33"/>
        <v>16.170000000000002</v>
      </c>
      <c r="AX27" s="43">
        <f t="shared" si="34"/>
        <v>11.55</v>
      </c>
      <c r="AY27" s="43">
        <f t="shared" si="35"/>
        <v>0</v>
      </c>
      <c r="AZ27" s="43">
        <f t="shared" si="36"/>
        <v>0</v>
      </c>
      <c r="BA27" s="43">
        <f t="shared" si="37"/>
        <v>1788.0100000000002</v>
      </c>
      <c r="BB27" s="43">
        <f t="shared" si="38"/>
        <v>1277.1500000000001</v>
      </c>
      <c r="BC27" s="43">
        <f t="shared" si="39"/>
        <v>0</v>
      </c>
      <c r="BD27" s="43">
        <f t="shared" si="40"/>
        <v>0</v>
      </c>
      <c r="BE27" s="42">
        <f t="shared" si="41"/>
        <v>0</v>
      </c>
      <c r="BF27" s="42">
        <f t="shared" si="42"/>
        <v>0</v>
      </c>
      <c r="BG27" s="42">
        <f t="shared" si="43"/>
        <v>0</v>
      </c>
      <c r="BH27" s="42">
        <f t="shared" si="44"/>
        <v>0</v>
      </c>
      <c r="BI27" s="4"/>
      <c r="BJ27" s="4"/>
      <c r="BK27" s="4"/>
      <c r="BL27" s="4"/>
      <c r="BM27" s="4"/>
      <c r="BN27" s="4"/>
    </row>
    <row r="28" spans="1:66" x14ac:dyDescent="0.2">
      <c r="A28" s="110" t="s">
        <v>65</v>
      </c>
      <c r="B28" s="102"/>
      <c r="C28" s="102"/>
      <c r="D28" s="102"/>
      <c r="E28" s="102"/>
      <c r="F28" s="32">
        <v>0.88</v>
      </c>
      <c r="G28" s="6">
        <v>0</v>
      </c>
      <c r="H28" s="7">
        <v>13.6</v>
      </c>
      <c r="I28" s="8">
        <v>142</v>
      </c>
      <c r="J28" s="8">
        <v>207</v>
      </c>
      <c r="K28" s="8">
        <v>193</v>
      </c>
      <c r="L28" s="7">
        <v>8</v>
      </c>
      <c r="M28" s="7">
        <v>4.5</v>
      </c>
      <c r="N28" s="47">
        <v>229</v>
      </c>
      <c r="O28" s="78">
        <v>1</v>
      </c>
      <c r="P28" s="78">
        <v>0</v>
      </c>
      <c r="Q28" s="41">
        <f t="shared" si="2"/>
        <v>0</v>
      </c>
      <c r="R28" s="41">
        <f t="shared" si="3"/>
        <v>0</v>
      </c>
      <c r="S28" s="41">
        <f t="shared" si="4"/>
        <v>0</v>
      </c>
      <c r="T28" s="41">
        <f t="shared" si="5"/>
        <v>0</v>
      </c>
      <c r="U28" s="41">
        <f t="shared" si="6"/>
        <v>0</v>
      </c>
      <c r="V28" s="41">
        <f t="shared" si="7"/>
        <v>0</v>
      </c>
      <c r="W28" s="41">
        <f t="shared" si="8"/>
        <v>0</v>
      </c>
      <c r="X28" s="41">
        <f t="shared" si="9"/>
        <v>0</v>
      </c>
      <c r="Y28" s="41">
        <f t="shared" si="10"/>
        <v>0</v>
      </c>
      <c r="Z28" s="41">
        <f t="shared" si="11"/>
        <v>0</v>
      </c>
      <c r="AA28" s="41">
        <f t="shared" si="45"/>
        <v>0</v>
      </c>
      <c r="AB28" s="41">
        <f t="shared" si="12"/>
        <v>0</v>
      </c>
      <c r="AC28" s="41">
        <f t="shared" si="13"/>
        <v>0</v>
      </c>
      <c r="AD28" s="41">
        <f t="shared" si="14"/>
        <v>0</v>
      </c>
      <c r="AE28" s="41">
        <f t="shared" si="15"/>
        <v>0</v>
      </c>
      <c r="AF28" s="41">
        <f t="shared" si="16"/>
        <v>0</v>
      </c>
      <c r="AG28" s="41">
        <f t="shared" si="17"/>
        <v>0</v>
      </c>
      <c r="AH28" s="41">
        <f t="shared" si="18"/>
        <v>0</v>
      </c>
      <c r="AI28" s="41">
        <f t="shared" si="19"/>
        <v>0</v>
      </c>
      <c r="AJ28" s="41">
        <f t="shared" si="20"/>
        <v>0</v>
      </c>
      <c r="AK28" s="41">
        <f t="shared" si="21"/>
        <v>0</v>
      </c>
      <c r="AL28" s="41">
        <f t="shared" si="22"/>
        <v>0</v>
      </c>
      <c r="AM28" s="41">
        <f t="shared" si="23"/>
        <v>0</v>
      </c>
      <c r="AN28" s="41">
        <f t="shared" si="24"/>
        <v>0</v>
      </c>
      <c r="AO28" s="41">
        <f t="shared" si="25"/>
        <v>0</v>
      </c>
      <c r="AP28" s="41">
        <f t="shared" si="26"/>
        <v>0</v>
      </c>
      <c r="AQ28" s="41">
        <f t="shared" si="27"/>
        <v>0</v>
      </c>
      <c r="AR28" s="41">
        <f t="shared" si="28"/>
        <v>0</v>
      </c>
      <c r="AS28" s="41">
        <f t="shared" si="29"/>
        <v>0</v>
      </c>
      <c r="AT28" s="41">
        <f t="shared" si="30"/>
        <v>0</v>
      </c>
      <c r="AU28" s="41">
        <f t="shared" si="31"/>
        <v>0</v>
      </c>
      <c r="AV28" s="41">
        <f t="shared" si="32"/>
        <v>0</v>
      </c>
      <c r="AW28" s="43">
        <f t="shared" si="33"/>
        <v>0</v>
      </c>
      <c r="AX28" s="43">
        <f t="shared" si="34"/>
        <v>0</v>
      </c>
      <c r="AY28" s="43">
        <f t="shared" si="35"/>
        <v>0</v>
      </c>
      <c r="AZ28" s="43">
        <f t="shared" si="36"/>
        <v>0</v>
      </c>
      <c r="BA28" s="43">
        <f t="shared" si="37"/>
        <v>0</v>
      </c>
      <c r="BB28" s="43">
        <f t="shared" si="38"/>
        <v>0</v>
      </c>
      <c r="BC28" s="43">
        <f t="shared" si="39"/>
        <v>0</v>
      </c>
      <c r="BD28" s="43">
        <f t="shared" si="40"/>
        <v>0</v>
      </c>
      <c r="BE28" s="42">
        <f t="shared" si="41"/>
        <v>0</v>
      </c>
      <c r="BF28" s="42">
        <f t="shared" si="42"/>
        <v>0</v>
      </c>
      <c r="BG28" s="42">
        <f t="shared" si="43"/>
        <v>0</v>
      </c>
      <c r="BH28" s="42">
        <f t="shared" si="44"/>
        <v>0</v>
      </c>
      <c r="BI28" s="4"/>
      <c r="BJ28" s="4"/>
      <c r="BK28" s="4"/>
      <c r="BL28" s="4"/>
    </row>
    <row r="29" spans="1:66" x14ac:dyDescent="0.2">
      <c r="A29" s="110" t="s">
        <v>65</v>
      </c>
      <c r="B29" s="102"/>
      <c r="C29" s="102"/>
      <c r="D29" s="102"/>
      <c r="E29" s="102"/>
      <c r="F29" s="32"/>
      <c r="G29" s="6"/>
      <c r="H29" s="7"/>
      <c r="I29" s="8"/>
      <c r="J29" s="8"/>
      <c r="K29" s="8"/>
      <c r="L29" s="7"/>
      <c r="M29" s="7"/>
      <c r="N29" s="47"/>
      <c r="O29" s="78"/>
      <c r="P29" s="78"/>
      <c r="Q29" s="41">
        <f t="shared" si="2"/>
        <v>0</v>
      </c>
      <c r="R29" s="41">
        <f t="shared" si="3"/>
        <v>0</v>
      </c>
      <c r="S29" s="41">
        <f t="shared" si="4"/>
        <v>0</v>
      </c>
      <c r="T29" s="41">
        <f t="shared" si="5"/>
        <v>0</v>
      </c>
      <c r="U29" s="41">
        <f t="shared" si="6"/>
        <v>0</v>
      </c>
      <c r="V29" s="41">
        <f t="shared" si="7"/>
        <v>0</v>
      </c>
      <c r="W29" s="41">
        <f t="shared" si="8"/>
        <v>0</v>
      </c>
      <c r="X29" s="41">
        <f t="shared" si="9"/>
        <v>0</v>
      </c>
      <c r="Y29" s="41">
        <f t="shared" si="10"/>
        <v>0</v>
      </c>
      <c r="Z29" s="41">
        <f t="shared" si="11"/>
        <v>0</v>
      </c>
      <c r="AA29" s="41">
        <f t="shared" si="45"/>
        <v>0</v>
      </c>
      <c r="AB29" s="41">
        <f t="shared" si="12"/>
        <v>0</v>
      </c>
      <c r="AC29" s="41">
        <f t="shared" si="13"/>
        <v>0</v>
      </c>
      <c r="AD29" s="41">
        <f t="shared" si="14"/>
        <v>0</v>
      </c>
      <c r="AE29" s="41">
        <f t="shared" si="15"/>
        <v>0</v>
      </c>
      <c r="AF29" s="41">
        <f t="shared" si="16"/>
        <v>0</v>
      </c>
      <c r="AG29" s="41">
        <f t="shared" si="17"/>
        <v>0</v>
      </c>
      <c r="AH29" s="41">
        <f t="shared" si="18"/>
        <v>0</v>
      </c>
      <c r="AI29" s="41">
        <f t="shared" si="19"/>
        <v>0</v>
      </c>
      <c r="AJ29" s="41">
        <f t="shared" si="20"/>
        <v>0</v>
      </c>
      <c r="AK29" s="41">
        <f t="shared" si="21"/>
        <v>0</v>
      </c>
      <c r="AL29" s="41">
        <f t="shared" si="22"/>
        <v>0</v>
      </c>
      <c r="AM29" s="41">
        <f t="shared" si="23"/>
        <v>0</v>
      </c>
      <c r="AN29" s="41">
        <f t="shared" si="24"/>
        <v>0</v>
      </c>
      <c r="AO29" s="41">
        <f t="shared" si="25"/>
        <v>0</v>
      </c>
      <c r="AP29" s="41">
        <f t="shared" si="26"/>
        <v>0</v>
      </c>
      <c r="AQ29" s="41">
        <f t="shared" si="27"/>
        <v>0</v>
      </c>
      <c r="AR29" s="41">
        <f t="shared" si="28"/>
        <v>0</v>
      </c>
      <c r="AS29" s="41">
        <f t="shared" si="29"/>
        <v>0</v>
      </c>
      <c r="AT29" s="41">
        <f t="shared" si="30"/>
        <v>0</v>
      </c>
      <c r="AU29" s="41">
        <f t="shared" si="31"/>
        <v>0</v>
      </c>
      <c r="AV29" s="41">
        <f t="shared" si="32"/>
        <v>0</v>
      </c>
      <c r="AW29" s="43">
        <f t="shared" si="33"/>
        <v>0</v>
      </c>
      <c r="AX29" s="43">
        <f t="shared" si="34"/>
        <v>0</v>
      </c>
      <c r="AY29" s="43">
        <f t="shared" si="35"/>
        <v>0</v>
      </c>
      <c r="AZ29" s="43">
        <f t="shared" si="36"/>
        <v>0</v>
      </c>
      <c r="BA29" s="43">
        <f t="shared" si="37"/>
        <v>0</v>
      </c>
      <c r="BB29" s="43">
        <f t="shared" si="38"/>
        <v>0</v>
      </c>
      <c r="BC29" s="43">
        <f t="shared" si="39"/>
        <v>0</v>
      </c>
      <c r="BD29" s="43">
        <f t="shared" si="40"/>
        <v>0</v>
      </c>
      <c r="BE29" s="42">
        <f t="shared" si="41"/>
        <v>0</v>
      </c>
      <c r="BF29" s="42">
        <f t="shared" si="42"/>
        <v>0</v>
      </c>
      <c r="BG29" s="42">
        <f t="shared" si="43"/>
        <v>0</v>
      </c>
      <c r="BH29" s="42">
        <f t="shared" si="44"/>
        <v>0</v>
      </c>
      <c r="BI29" s="4"/>
      <c r="BJ29" s="4"/>
      <c r="BK29" s="4"/>
      <c r="BL29" s="4"/>
    </row>
    <row r="30" spans="1:66" x14ac:dyDescent="0.2">
      <c r="A30" s="110" t="s">
        <v>65</v>
      </c>
      <c r="B30" s="102"/>
      <c r="C30" s="102"/>
      <c r="D30" s="102"/>
      <c r="E30" s="102"/>
      <c r="F30" s="32"/>
      <c r="G30" s="6"/>
      <c r="H30" s="7"/>
      <c r="I30" s="8"/>
      <c r="J30" s="8"/>
      <c r="K30" s="8"/>
      <c r="L30" s="7"/>
      <c r="M30" s="7"/>
      <c r="N30" s="47"/>
      <c r="O30" s="78"/>
      <c r="P30" s="78"/>
      <c r="Q30" s="41">
        <f t="shared" si="2"/>
        <v>0</v>
      </c>
      <c r="R30" s="41">
        <f t="shared" si="3"/>
        <v>0</v>
      </c>
      <c r="S30" s="41">
        <f t="shared" si="4"/>
        <v>0</v>
      </c>
      <c r="T30" s="41">
        <f t="shared" si="5"/>
        <v>0</v>
      </c>
      <c r="U30" s="41">
        <f t="shared" si="6"/>
        <v>0</v>
      </c>
      <c r="V30" s="41">
        <f t="shared" si="7"/>
        <v>0</v>
      </c>
      <c r="W30" s="41">
        <f t="shared" si="8"/>
        <v>0</v>
      </c>
      <c r="X30" s="41">
        <f t="shared" si="9"/>
        <v>0</v>
      </c>
      <c r="Y30" s="41">
        <f t="shared" si="10"/>
        <v>0</v>
      </c>
      <c r="Z30" s="41">
        <f t="shared" si="11"/>
        <v>0</v>
      </c>
      <c r="AA30" s="41">
        <f t="shared" si="45"/>
        <v>0</v>
      </c>
      <c r="AB30" s="41">
        <f t="shared" si="12"/>
        <v>0</v>
      </c>
      <c r="AC30" s="41">
        <f t="shared" si="13"/>
        <v>0</v>
      </c>
      <c r="AD30" s="41">
        <f t="shared" si="14"/>
        <v>0</v>
      </c>
      <c r="AE30" s="41">
        <f t="shared" si="15"/>
        <v>0</v>
      </c>
      <c r="AF30" s="41">
        <f t="shared" si="16"/>
        <v>0</v>
      </c>
      <c r="AG30" s="41">
        <f t="shared" si="17"/>
        <v>0</v>
      </c>
      <c r="AH30" s="41">
        <f t="shared" si="18"/>
        <v>0</v>
      </c>
      <c r="AI30" s="41">
        <f t="shared" si="19"/>
        <v>0</v>
      </c>
      <c r="AJ30" s="41">
        <f t="shared" si="20"/>
        <v>0</v>
      </c>
      <c r="AK30" s="41">
        <f t="shared" si="21"/>
        <v>0</v>
      </c>
      <c r="AL30" s="41">
        <f t="shared" si="22"/>
        <v>0</v>
      </c>
      <c r="AM30" s="41">
        <f t="shared" si="23"/>
        <v>0</v>
      </c>
      <c r="AN30" s="41">
        <f t="shared" si="24"/>
        <v>0</v>
      </c>
      <c r="AO30" s="41">
        <f t="shared" si="25"/>
        <v>0</v>
      </c>
      <c r="AP30" s="41">
        <f t="shared" si="26"/>
        <v>0</v>
      </c>
      <c r="AQ30" s="41">
        <f t="shared" si="27"/>
        <v>0</v>
      </c>
      <c r="AR30" s="41">
        <f t="shared" si="28"/>
        <v>0</v>
      </c>
      <c r="AS30" s="41">
        <f t="shared" si="29"/>
        <v>0</v>
      </c>
      <c r="AT30" s="41">
        <f t="shared" si="30"/>
        <v>0</v>
      </c>
      <c r="AU30" s="41">
        <f t="shared" si="31"/>
        <v>0</v>
      </c>
      <c r="AV30" s="41">
        <f t="shared" si="32"/>
        <v>0</v>
      </c>
      <c r="AW30" s="43">
        <f t="shared" si="33"/>
        <v>0</v>
      </c>
      <c r="AX30" s="43">
        <f t="shared" si="34"/>
        <v>0</v>
      </c>
      <c r="AY30" s="43">
        <f t="shared" si="35"/>
        <v>0</v>
      </c>
      <c r="AZ30" s="43">
        <f t="shared" si="36"/>
        <v>0</v>
      </c>
      <c r="BA30" s="43">
        <f t="shared" si="37"/>
        <v>0</v>
      </c>
      <c r="BB30" s="43">
        <f t="shared" si="38"/>
        <v>0</v>
      </c>
      <c r="BC30" s="43">
        <f t="shared" si="39"/>
        <v>0</v>
      </c>
      <c r="BD30" s="43">
        <f t="shared" si="40"/>
        <v>0</v>
      </c>
      <c r="BE30" s="42">
        <f t="shared" si="41"/>
        <v>0</v>
      </c>
      <c r="BF30" s="42">
        <f t="shared" si="42"/>
        <v>0</v>
      </c>
      <c r="BG30" s="42">
        <f t="shared" si="43"/>
        <v>0</v>
      </c>
      <c r="BH30" s="42">
        <f t="shared" si="44"/>
        <v>0</v>
      </c>
    </row>
    <row r="31" spans="1:66" x14ac:dyDescent="0.2">
      <c r="A31" s="110" t="s">
        <v>66</v>
      </c>
      <c r="B31" s="102">
        <v>1</v>
      </c>
      <c r="C31" s="102">
        <v>1</v>
      </c>
      <c r="D31" s="102">
        <v>1</v>
      </c>
      <c r="E31" s="102">
        <v>1</v>
      </c>
      <c r="F31" s="32">
        <v>0.98</v>
      </c>
      <c r="G31" s="6">
        <v>0</v>
      </c>
      <c r="H31" s="7">
        <v>0</v>
      </c>
      <c r="I31" s="8">
        <v>0</v>
      </c>
      <c r="J31" s="8">
        <v>0</v>
      </c>
      <c r="K31" s="8">
        <v>0</v>
      </c>
      <c r="L31" s="7">
        <v>149</v>
      </c>
      <c r="M31" s="7">
        <v>66.3</v>
      </c>
      <c r="N31" s="47">
        <v>650</v>
      </c>
      <c r="O31" s="78">
        <v>1</v>
      </c>
      <c r="P31" s="78">
        <v>0</v>
      </c>
      <c r="Q31" s="41">
        <f t="shared" si="2"/>
        <v>0.98</v>
      </c>
      <c r="R31" s="41">
        <f t="shared" si="3"/>
        <v>0.98</v>
      </c>
      <c r="S31" s="41">
        <f t="shared" si="4"/>
        <v>0.98</v>
      </c>
      <c r="T31" s="41">
        <f t="shared" si="5"/>
        <v>0.98</v>
      </c>
      <c r="U31" s="41">
        <f t="shared" si="6"/>
        <v>0</v>
      </c>
      <c r="V31" s="41">
        <f t="shared" si="7"/>
        <v>0</v>
      </c>
      <c r="W31" s="41">
        <f t="shared" si="8"/>
        <v>0</v>
      </c>
      <c r="X31" s="41">
        <f t="shared" si="9"/>
        <v>0</v>
      </c>
      <c r="Y31" s="41">
        <f t="shared" si="10"/>
        <v>0</v>
      </c>
      <c r="Z31" s="41">
        <f t="shared" si="11"/>
        <v>0</v>
      </c>
      <c r="AA31" s="41">
        <f t="shared" si="45"/>
        <v>0</v>
      </c>
      <c r="AB31" s="41">
        <f t="shared" si="12"/>
        <v>0</v>
      </c>
      <c r="AC31" s="41">
        <f t="shared" si="13"/>
        <v>0</v>
      </c>
      <c r="AD31" s="41">
        <f t="shared" si="14"/>
        <v>0</v>
      </c>
      <c r="AE31" s="41">
        <f t="shared" si="15"/>
        <v>0</v>
      </c>
      <c r="AF31" s="41">
        <f t="shared" si="16"/>
        <v>0</v>
      </c>
      <c r="AG31" s="41">
        <f t="shared" si="17"/>
        <v>0</v>
      </c>
      <c r="AH31" s="41">
        <f t="shared" si="18"/>
        <v>0</v>
      </c>
      <c r="AI31" s="41">
        <f t="shared" si="19"/>
        <v>0</v>
      </c>
      <c r="AJ31" s="41">
        <f t="shared" si="20"/>
        <v>0</v>
      </c>
      <c r="AK31" s="41">
        <f t="shared" si="21"/>
        <v>0</v>
      </c>
      <c r="AL31" s="41">
        <f t="shared" si="22"/>
        <v>0</v>
      </c>
      <c r="AM31" s="41">
        <f t="shared" si="23"/>
        <v>0</v>
      </c>
      <c r="AN31" s="41">
        <f t="shared" si="24"/>
        <v>0</v>
      </c>
      <c r="AO31" s="41">
        <f t="shared" si="25"/>
        <v>146.02000000000001</v>
      </c>
      <c r="AP31" s="41">
        <f t="shared" si="26"/>
        <v>146.02000000000001</v>
      </c>
      <c r="AQ31" s="41">
        <f t="shared" si="27"/>
        <v>146.02000000000001</v>
      </c>
      <c r="AR31" s="41">
        <f t="shared" si="28"/>
        <v>146.02000000000001</v>
      </c>
      <c r="AS31" s="41">
        <f t="shared" si="29"/>
        <v>64.97399999999999</v>
      </c>
      <c r="AT31" s="41">
        <f t="shared" si="30"/>
        <v>64.97399999999999</v>
      </c>
      <c r="AU31" s="41">
        <f t="shared" si="31"/>
        <v>64.97399999999999</v>
      </c>
      <c r="AV31" s="41">
        <f t="shared" si="32"/>
        <v>64.97399999999999</v>
      </c>
      <c r="AW31" s="43">
        <f t="shared" si="33"/>
        <v>6.5</v>
      </c>
      <c r="AX31" s="43">
        <f t="shared" si="34"/>
        <v>6.5</v>
      </c>
      <c r="AY31" s="43">
        <f t="shared" si="35"/>
        <v>6.5</v>
      </c>
      <c r="AZ31" s="43">
        <f t="shared" si="36"/>
        <v>6.5</v>
      </c>
      <c r="BA31" s="43">
        <f t="shared" si="37"/>
        <v>0</v>
      </c>
      <c r="BB31" s="43">
        <f t="shared" si="38"/>
        <v>0</v>
      </c>
      <c r="BC31" s="43">
        <f t="shared" si="39"/>
        <v>0</v>
      </c>
      <c r="BD31" s="43">
        <f t="shared" si="40"/>
        <v>0</v>
      </c>
      <c r="BE31" s="42">
        <f t="shared" si="41"/>
        <v>0</v>
      </c>
      <c r="BF31" s="42">
        <f t="shared" si="42"/>
        <v>0</v>
      </c>
      <c r="BG31" s="42">
        <f t="shared" si="43"/>
        <v>0</v>
      </c>
      <c r="BH31" s="42">
        <f t="shared" si="44"/>
        <v>0</v>
      </c>
      <c r="BI31" s="4"/>
      <c r="BJ31" s="4"/>
      <c r="BK31" s="4"/>
      <c r="BL31" s="4"/>
    </row>
    <row r="32" spans="1:66" x14ac:dyDescent="0.2">
      <c r="A32" s="110" t="s">
        <v>65</v>
      </c>
      <c r="B32" s="102"/>
      <c r="C32" s="102"/>
      <c r="D32" s="102"/>
      <c r="E32" s="102"/>
      <c r="F32" s="8"/>
      <c r="G32" s="6"/>
      <c r="H32" s="7"/>
      <c r="I32" s="8"/>
      <c r="J32" s="9"/>
      <c r="K32" s="9"/>
      <c r="L32" s="7"/>
      <c r="M32" s="7"/>
      <c r="N32" s="48"/>
      <c r="O32" s="78"/>
      <c r="P32" s="78"/>
      <c r="Q32" s="41">
        <f t="shared" si="2"/>
        <v>0</v>
      </c>
      <c r="R32" s="41">
        <f t="shared" si="3"/>
        <v>0</v>
      </c>
      <c r="S32" s="41">
        <f t="shared" si="4"/>
        <v>0</v>
      </c>
      <c r="T32" s="41">
        <f t="shared" si="5"/>
        <v>0</v>
      </c>
      <c r="U32" s="41">
        <f t="shared" si="6"/>
        <v>0</v>
      </c>
      <c r="V32" s="41">
        <f t="shared" si="7"/>
        <v>0</v>
      </c>
      <c r="W32" s="41">
        <f t="shared" si="8"/>
        <v>0</v>
      </c>
      <c r="X32" s="41">
        <f t="shared" si="9"/>
        <v>0</v>
      </c>
      <c r="Y32" s="41">
        <f t="shared" si="10"/>
        <v>0</v>
      </c>
      <c r="Z32" s="41">
        <f t="shared" si="11"/>
        <v>0</v>
      </c>
      <c r="AA32" s="41">
        <f t="shared" si="45"/>
        <v>0</v>
      </c>
      <c r="AB32" s="41">
        <f t="shared" si="12"/>
        <v>0</v>
      </c>
      <c r="AC32" s="41">
        <f t="shared" si="13"/>
        <v>0</v>
      </c>
      <c r="AD32" s="41">
        <f t="shared" si="14"/>
        <v>0</v>
      </c>
      <c r="AE32" s="41">
        <f t="shared" si="15"/>
        <v>0</v>
      </c>
      <c r="AF32" s="41">
        <f t="shared" si="16"/>
        <v>0</v>
      </c>
      <c r="AG32" s="41">
        <f t="shared" si="17"/>
        <v>0</v>
      </c>
      <c r="AH32" s="41">
        <f t="shared" si="18"/>
        <v>0</v>
      </c>
      <c r="AI32" s="41">
        <f t="shared" si="19"/>
        <v>0</v>
      </c>
      <c r="AJ32" s="41">
        <f t="shared" si="20"/>
        <v>0</v>
      </c>
      <c r="AK32" s="41">
        <f t="shared" si="21"/>
        <v>0</v>
      </c>
      <c r="AL32" s="41">
        <f t="shared" si="22"/>
        <v>0</v>
      </c>
      <c r="AM32" s="41">
        <f t="shared" si="23"/>
        <v>0</v>
      </c>
      <c r="AN32" s="41">
        <f t="shared" si="24"/>
        <v>0</v>
      </c>
      <c r="AO32" s="41">
        <f t="shared" si="25"/>
        <v>0</v>
      </c>
      <c r="AP32" s="41">
        <f t="shared" si="26"/>
        <v>0</v>
      </c>
      <c r="AQ32" s="41">
        <f t="shared" si="27"/>
        <v>0</v>
      </c>
      <c r="AR32" s="41">
        <f t="shared" si="28"/>
        <v>0</v>
      </c>
      <c r="AS32" s="41">
        <f t="shared" si="29"/>
        <v>0</v>
      </c>
      <c r="AT32" s="41">
        <f t="shared" si="30"/>
        <v>0</v>
      </c>
      <c r="AU32" s="41">
        <f t="shared" si="31"/>
        <v>0</v>
      </c>
      <c r="AV32" s="41">
        <f t="shared" si="32"/>
        <v>0</v>
      </c>
      <c r="AW32" s="43">
        <f t="shared" si="33"/>
        <v>0</v>
      </c>
      <c r="AX32" s="43">
        <f t="shared" si="34"/>
        <v>0</v>
      </c>
      <c r="AY32" s="43">
        <f t="shared" si="35"/>
        <v>0</v>
      </c>
      <c r="AZ32" s="43">
        <f t="shared" si="36"/>
        <v>0</v>
      </c>
      <c r="BA32" s="43">
        <f t="shared" si="37"/>
        <v>0</v>
      </c>
      <c r="BB32" s="43">
        <f t="shared" si="38"/>
        <v>0</v>
      </c>
      <c r="BC32" s="43">
        <f t="shared" si="39"/>
        <v>0</v>
      </c>
      <c r="BD32" s="43">
        <f t="shared" si="40"/>
        <v>0</v>
      </c>
      <c r="BE32" s="42">
        <f t="shared" si="41"/>
        <v>0</v>
      </c>
      <c r="BF32" s="42">
        <f t="shared" si="42"/>
        <v>0</v>
      </c>
      <c r="BG32" s="42">
        <f t="shared" si="43"/>
        <v>0</v>
      </c>
      <c r="BH32" s="42">
        <f t="shared" si="44"/>
        <v>0</v>
      </c>
      <c r="BI32" s="4"/>
      <c r="BJ32" s="4"/>
      <c r="BK32" s="4"/>
      <c r="BL32" s="4"/>
    </row>
    <row r="33" spans="1:64" ht="15.75" x14ac:dyDescent="0.25">
      <c r="A33" s="111" t="s">
        <v>67</v>
      </c>
      <c r="B33" s="132">
        <f>SUM(B22:B31)</f>
        <v>130</v>
      </c>
      <c r="C33" s="132">
        <f>SUM(C22:C31)</f>
        <v>110</v>
      </c>
      <c r="D33" s="132">
        <f>SUM(D22:D31)</f>
        <v>98</v>
      </c>
      <c r="E33" s="132">
        <f>SUM(E22:E31)</f>
        <v>34</v>
      </c>
      <c r="F33" s="8"/>
      <c r="G33" s="6"/>
      <c r="H33" s="7"/>
      <c r="I33" s="8"/>
      <c r="J33" s="9"/>
      <c r="K33" s="9"/>
      <c r="L33" s="7"/>
      <c r="M33" s="7"/>
      <c r="N33" s="48"/>
      <c r="O33" s="49"/>
      <c r="P33" s="49"/>
      <c r="Q33" s="80">
        <f t="shared" ref="Q33:BH33" si="46">SUM(Q22:Q32)</f>
        <v>55.809999999999995</v>
      </c>
      <c r="R33" s="80">
        <f t="shared" si="46"/>
        <v>38.949999999999996</v>
      </c>
      <c r="S33" s="80">
        <f t="shared" si="46"/>
        <v>41.469999999999992</v>
      </c>
      <c r="T33" s="80">
        <f t="shared" si="46"/>
        <v>28.369999999999997</v>
      </c>
      <c r="U33" s="80">
        <f t="shared" si="46"/>
        <v>25.36</v>
      </c>
      <c r="V33" s="80">
        <f t="shared" si="46"/>
        <v>13.600000000000001</v>
      </c>
      <c r="W33" s="80">
        <f t="shared" si="46"/>
        <v>13.93</v>
      </c>
      <c r="X33" s="80">
        <f t="shared" si="46"/>
        <v>0</v>
      </c>
      <c r="Y33" s="80">
        <f t="shared" si="46"/>
        <v>635.572</v>
      </c>
      <c r="Z33" s="80">
        <f t="shared" si="46"/>
        <v>450.55600000000004</v>
      </c>
      <c r="AA33" s="80">
        <f t="shared" si="46"/>
        <v>479.96200000000005</v>
      </c>
      <c r="AB33" s="80">
        <f t="shared" si="46"/>
        <v>350.59199999999998</v>
      </c>
      <c r="AC33" s="80">
        <f t="shared" si="46"/>
        <v>4666.5099999999993</v>
      </c>
      <c r="AD33" s="80">
        <f t="shared" si="46"/>
        <v>3296.73</v>
      </c>
      <c r="AE33" s="80">
        <f t="shared" si="46"/>
        <v>3192.2</v>
      </c>
      <c r="AF33" s="80">
        <f t="shared" si="46"/>
        <v>2300.7599999999998</v>
      </c>
      <c r="AG33" s="80">
        <f t="shared" si="46"/>
        <v>8101.4500000000007</v>
      </c>
      <c r="AH33" s="80">
        <f t="shared" si="46"/>
        <v>6080.67</v>
      </c>
      <c r="AI33" s="80">
        <f t="shared" si="46"/>
        <v>5541.62</v>
      </c>
      <c r="AJ33" s="80">
        <f t="shared" si="46"/>
        <v>3725.0399999999995</v>
      </c>
      <c r="AK33" s="80">
        <f t="shared" si="46"/>
        <v>23760.23</v>
      </c>
      <c r="AL33" s="80">
        <f t="shared" si="46"/>
        <v>14752.850000000002</v>
      </c>
      <c r="AM33" s="80">
        <f t="shared" si="46"/>
        <v>15138.439999999999</v>
      </c>
      <c r="AN33" s="80">
        <f t="shared" si="46"/>
        <v>7121.4</v>
      </c>
      <c r="AO33" s="80">
        <f t="shared" si="46"/>
        <v>367.98800000000006</v>
      </c>
      <c r="AP33" s="80">
        <f t="shared" si="46"/>
        <v>286.596</v>
      </c>
      <c r="AQ33" s="80">
        <f t="shared" si="46"/>
        <v>247.363</v>
      </c>
      <c r="AR33" s="80">
        <f t="shared" si="46"/>
        <v>167.93200000000002</v>
      </c>
      <c r="AS33" s="80">
        <f t="shared" si="46"/>
        <v>263.85799999999995</v>
      </c>
      <c r="AT33" s="80">
        <f t="shared" si="46"/>
        <v>205.66199999999998</v>
      </c>
      <c r="AU33" s="80">
        <f t="shared" si="46"/>
        <v>206.86599999999999</v>
      </c>
      <c r="AV33" s="80">
        <f t="shared" si="46"/>
        <v>171.79499999999996</v>
      </c>
      <c r="AW33" s="81">
        <f t="shared" si="46"/>
        <v>85.27000000000001</v>
      </c>
      <c r="AX33" s="81">
        <f t="shared" si="46"/>
        <v>55.650000000000006</v>
      </c>
      <c r="AY33" s="81">
        <f t="shared" si="46"/>
        <v>52.43</v>
      </c>
      <c r="AZ33" s="81">
        <f t="shared" si="46"/>
        <v>39.5</v>
      </c>
      <c r="BA33" s="82">
        <f t="shared" si="46"/>
        <v>1788.0100000000002</v>
      </c>
      <c r="BB33" s="82">
        <f t="shared" si="46"/>
        <v>1277.1500000000001</v>
      </c>
      <c r="BC33" s="82">
        <f t="shared" si="46"/>
        <v>0</v>
      </c>
      <c r="BD33" s="82">
        <f t="shared" si="46"/>
        <v>0</v>
      </c>
      <c r="BE33" s="82">
        <f t="shared" si="46"/>
        <v>0</v>
      </c>
      <c r="BF33" s="82">
        <f t="shared" si="46"/>
        <v>0</v>
      </c>
      <c r="BG33" s="82">
        <f t="shared" si="46"/>
        <v>0</v>
      </c>
      <c r="BH33" s="82">
        <f t="shared" si="46"/>
        <v>0</v>
      </c>
      <c r="BI33" s="4"/>
      <c r="BJ33" s="4"/>
      <c r="BK33" s="4"/>
      <c r="BL33" s="4"/>
    </row>
    <row r="34" spans="1:64" x14ac:dyDescent="0.2">
      <c r="A34" s="130"/>
      <c r="B34" s="118"/>
      <c r="C34" s="118"/>
      <c r="D34" s="118"/>
      <c r="E34" s="118"/>
      <c r="L34" s="19"/>
      <c r="M34" s="19"/>
      <c r="N34" s="19"/>
      <c r="O34" s="19"/>
      <c r="Q34" s="63">
        <f>Q33/B33</f>
        <v>0.42930769230769228</v>
      </c>
      <c r="R34" s="63">
        <f>R33/C33</f>
        <v>0.35409090909090907</v>
      </c>
      <c r="S34" s="63">
        <f>S33/D33</f>
        <v>0.42316326530612236</v>
      </c>
      <c r="T34" s="63">
        <f>T33/E33</f>
        <v>0.8344117647058823</v>
      </c>
      <c r="U34" s="137">
        <f>U33/Q33</f>
        <v>0.45439885325210538</v>
      </c>
      <c r="V34" s="134">
        <f>V33/R33</f>
        <v>0.34916559691912719</v>
      </c>
      <c r="W34" s="134">
        <f>W33/S33</f>
        <v>0.33590547383650837</v>
      </c>
      <c r="X34" s="134">
        <f>X33/T33</f>
        <v>0</v>
      </c>
      <c r="Y34" s="136">
        <f>Y33/Q33</f>
        <v>11.388138326464793</v>
      </c>
      <c r="Z34" s="64">
        <f>Z33/R33</f>
        <v>11.567548138639284</v>
      </c>
      <c r="AA34" s="64">
        <f>AA33/S33</f>
        <v>11.573715939233184</v>
      </c>
      <c r="AB34" s="64">
        <f>AB33/T33</f>
        <v>12.357842791681355</v>
      </c>
      <c r="AC34" s="136">
        <f>AC33/Q33</f>
        <v>83.614226841067904</v>
      </c>
      <c r="AD34" s="64">
        <f>AD33/R33</f>
        <v>84.640051347881908</v>
      </c>
      <c r="AE34" s="64">
        <f>AE33/S33</f>
        <v>76.976127320954916</v>
      </c>
      <c r="AF34" s="64">
        <f>AF33/T33</f>
        <v>81.098343320408887</v>
      </c>
      <c r="AG34" s="136">
        <f>AG33/Q33</f>
        <v>145.16126142268413</v>
      </c>
      <c r="AH34" s="136">
        <f>AH33/R33</f>
        <v>156.11476251604623</v>
      </c>
      <c r="AI34" s="136">
        <f>AI33/S33</f>
        <v>133.62961176754283</v>
      </c>
      <c r="AJ34" s="136">
        <f>AJ33/T33</f>
        <v>131.30207966161439</v>
      </c>
      <c r="AK34" s="64">
        <f>AK33/Q33</f>
        <v>425.73427701128833</v>
      </c>
      <c r="AL34" s="64">
        <f>AL33/R33</f>
        <v>378.76379974326068</v>
      </c>
      <c r="AM34" s="64">
        <f>AM33/S33</f>
        <v>365.04557511454067</v>
      </c>
      <c r="AN34" s="64">
        <f>AN33/T33</f>
        <v>251.01868170602751</v>
      </c>
      <c r="AO34" s="64">
        <f>AO33/Q33</f>
        <v>6.5935853789643453</v>
      </c>
      <c r="AP34" s="64">
        <f>AP33/R33</f>
        <v>7.3580487804878061</v>
      </c>
      <c r="AQ34" s="64">
        <f>AQ33/S33</f>
        <v>5.9648661683144457</v>
      </c>
      <c r="AR34" s="64">
        <f>AR33/T33</f>
        <v>5.9193514275643295</v>
      </c>
      <c r="AS34" s="64">
        <f>AS33/Q33</f>
        <v>4.7277907185092269</v>
      </c>
      <c r="AT34" s="64">
        <f>AT33/R33</f>
        <v>5.2801540436457</v>
      </c>
      <c r="AU34" s="64">
        <f>AU33/S33</f>
        <v>4.9883289124668444</v>
      </c>
      <c r="AV34" s="64">
        <f>AV33/T33</f>
        <v>6.0555163905534002</v>
      </c>
      <c r="AW34" s="65">
        <f>AW33/Q33</f>
        <v>1.5278623902526431</v>
      </c>
      <c r="AX34" s="65">
        <f>AX33/R33</f>
        <v>1.4287548138639283</v>
      </c>
      <c r="AY34" s="65">
        <f>AY33/S33</f>
        <v>1.26428743670123</v>
      </c>
      <c r="AZ34" s="65">
        <f>AZ33/T33</f>
        <v>1.3923158265773705</v>
      </c>
      <c r="BA34" s="64">
        <f>BA33/Q33</f>
        <v>32.037448485934426</v>
      </c>
      <c r="BB34" s="64">
        <f>BB33/R33</f>
        <v>32.789473684210535</v>
      </c>
      <c r="BC34" s="64">
        <f>BC33/S33</f>
        <v>0</v>
      </c>
      <c r="BD34" s="64">
        <f>BD33/T33</f>
        <v>0</v>
      </c>
      <c r="BE34" s="64">
        <f>BE33/Q33</f>
        <v>0</v>
      </c>
      <c r="BF34" s="64">
        <f>BF33/R33</f>
        <v>0</v>
      </c>
      <c r="BG34" s="64">
        <f>BG33/S33</f>
        <v>0</v>
      </c>
      <c r="BH34" s="64">
        <f>BH33/T33</f>
        <v>0</v>
      </c>
      <c r="BI34" s="4"/>
    </row>
    <row r="35" spans="1:64" ht="15.75" x14ac:dyDescent="0.25">
      <c r="A35" s="131"/>
      <c r="B35" s="118"/>
      <c r="C35" s="118"/>
      <c r="D35" s="118"/>
      <c r="E35" s="118"/>
      <c r="P35" s="15"/>
      <c r="Q35" s="133" t="s">
        <v>68</v>
      </c>
      <c r="R35" s="211"/>
      <c r="S35" s="211"/>
      <c r="T35" s="211"/>
      <c r="U35" s="21" t="s">
        <v>69</v>
      </c>
      <c r="V35" s="21"/>
      <c r="W35" s="21"/>
      <c r="X35" s="21"/>
      <c r="Y35" s="79" t="s">
        <v>70</v>
      </c>
      <c r="Z35" s="79"/>
      <c r="AA35" s="79"/>
      <c r="AB35" s="79"/>
      <c r="AC35" s="135" t="s">
        <v>71</v>
      </c>
      <c r="AD35" s="135"/>
      <c r="AE35" s="135"/>
      <c r="AF35" s="135"/>
      <c r="AG35" s="66">
        <f t="shared" ref="AG35:AV35" si="47">AG34/1000</f>
        <v>0.14516126142268412</v>
      </c>
      <c r="AH35" s="66">
        <f t="shared" si="47"/>
        <v>0.15611476251604622</v>
      </c>
      <c r="AI35" s="66">
        <f t="shared" si="47"/>
        <v>0.13362961176754282</v>
      </c>
      <c r="AJ35" s="66">
        <f t="shared" si="47"/>
        <v>0.13130207966161439</v>
      </c>
      <c r="AK35" s="66">
        <f t="shared" si="47"/>
        <v>0.42573427701128835</v>
      </c>
      <c r="AL35" s="66">
        <f t="shared" si="47"/>
        <v>0.37876379974326069</v>
      </c>
      <c r="AM35" s="66">
        <f t="shared" si="47"/>
        <v>0.36504557511454067</v>
      </c>
      <c r="AN35" s="66">
        <f t="shared" si="47"/>
        <v>0.25101868170602748</v>
      </c>
      <c r="AO35" s="66">
        <f t="shared" si="47"/>
        <v>6.593585378964345E-3</v>
      </c>
      <c r="AP35" s="66">
        <f t="shared" si="47"/>
        <v>7.3580487804878062E-3</v>
      </c>
      <c r="AQ35" s="66">
        <f t="shared" si="47"/>
        <v>5.9648661683144458E-3</v>
      </c>
      <c r="AR35" s="66">
        <f t="shared" si="47"/>
        <v>5.9193514275643292E-3</v>
      </c>
      <c r="AS35" s="66">
        <f t="shared" si="47"/>
        <v>4.7277907185092269E-3</v>
      </c>
      <c r="AT35" s="66">
        <f t="shared" si="47"/>
        <v>5.2801540436457003E-3</v>
      </c>
      <c r="AU35" s="66">
        <f t="shared" si="47"/>
        <v>4.9883289124668445E-3</v>
      </c>
      <c r="AV35" s="66">
        <f t="shared" si="47"/>
        <v>6.0555163905533999E-3</v>
      </c>
      <c r="AW35" s="22"/>
      <c r="AX35" s="22"/>
      <c r="AY35" s="22"/>
      <c r="AZ35" s="22"/>
      <c r="BA35" s="66">
        <f>BA34/1000</f>
        <v>3.2037448485934428E-2</v>
      </c>
      <c r="BB35" s="66">
        <f>BB34/1000</f>
        <v>3.2789473684210535E-2</v>
      </c>
      <c r="BC35" s="66">
        <f>BC34/1000</f>
        <v>0</v>
      </c>
      <c r="BD35" s="66">
        <f>BD34/1000</f>
        <v>0</v>
      </c>
      <c r="BE35" s="70"/>
    </row>
    <row r="36" spans="1:64" x14ac:dyDescent="0.2">
      <c r="Q36" s="211"/>
      <c r="R36" s="21"/>
      <c r="S36" s="2"/>
      <c r="T36" s="2"/>
      <c r="U36" s="2"/>
      <c r="V36" s="2"/>
      <c r="W36" s="2"/>
      <c r="X36" s="2"/>
      <c r="Z36" s="70"/>
      <c r="AA36" s="70"/>
      <c r="AB36" s="70"/>
    </row>
    <row r="37" spans="1:64" ht="26.25" x14ac:dyDescent="0.4">
      <c r="A37" s="10" t="str">
        <f>A2</f>
        <v>ENDAGARSFODERSTATSKONTROLL</v>
      </c>
      <c r="L37" s="19"/>
      <c r="M37" s="19"/>
      <c r="N37" s="19"/>
      <c r="O37" s="19"/>
      <c r="P37" s="19"/>
      <c r="U37" s="2"/>
      <c r="V37" s="2"/>
      <c r="W37" s="3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64" ht="26.25" x14ac:dyDescent="0.4">
      <c r="A38" s="10"/>
      <c r="L38" s="19"/>
      <c r="M38" s="19"/>
      <c r="N38" s="19"/>
      <c r="O38" s="19"/>
      <c r="S38" s="13"/>
      <c r="T38" s="11" t="s">
        <v>72</v>
      </c>
      <c r="U38" s="11" t="s">
        <v>73</v>
      </c>
      <c r="V38" s="11" t="s">
        <v>74</v>
      </c>
      <c r="W38" s="3"/>
      <c r="X38" s="13" t="s">
        <v>75</v>
      </c>
      <c r="Y38" s="44" t="s">
        <v>76</v>
      </c>
      <c r="Z38" s="44" t="s">
        <v>77</v>
      </c>
      <c r="AB38" s="4"/>
      <c r="AC38" s="4"/>
      <c r="AD38" s="4"/>
      <c r="AE38" s="4"/>
    </row>
    <row r="39" spans="1:64" x14ac:dyDescent="0.2">
      <c r="A39" s="1" t="s">
        <v>78</v>
      </c>
      <c r="B39" s="1">
        <f>B5</f>
        <v>0</v>
      </c>
      <c r="C39" s="1"/>
      <c r="D39" s="1"/>
      <c r="E39" s="1"/>
      <c r="L39" s="5"/>
      <c r="M39" s="5"/>
      <c r="N39" s="5"/>
      <c r="O39" s="5"/>
      <c r="S39" s="2"/>
      <c r="T39" s="21">
        <v>50</v>
      </c>
      <c r="U39" s="21">
        <v>16.100000000000001</v>
      </c>
      <c r="V39" s="11">
        <v>7.5</v>
      </c>
      <c r="W39" s="2"/>
      <c r="X39" s="68" t="s">
        <v>79</v>
      </c>
      <c r="Y39" s="67" t="s">
        <v>80</v>
      </c>
      <c r="Z39" s="67" t="s">
        <v>81</v>
      </c>
      <c r="AB39" s="4"/>
      <c r="AC39" s="4"/>
      <c r="AD39" s="4"/>
      <c r="AE39" s="4"/>
    </row>
    <row r="40" spans="1:64" x14ac:dyDescent="0.2">
      <c r="A40" s="1" t="s">
        <v>82</v>
      </c>
      <c r="B40" s="158">
        <f>F4</f>
        <v>37917</v>
      </c>
      <c r="C40" s="1"/>
      <c r="D40" s="1"/>
      <c r="E40" s="1"/>
      <c r="L40" s="5"/>
      <c r="M40" s="5"/>
      <c r="N40" s="5"/>
      <c r="O40" s="5"/>
      <c r="P40" s="5"/>
      <c r="S40" s="67"/>
      <c r="T40" s="21">
        <v>75</v>
      </c>
      <c r="U40" s="21">
        <v>14.6</v>
      </c>
      <c r="V40" s="11">
        <v>7.5</v>
      </c>
      <c r="X40" s="1">
        <v>100</v>
      </c>
      <c r="Y40" s="11">
        <v>27</v>
      </c>
      <c r="Z40" s="11">
        <v>13</v>
      </c>
      <c r="AA40" s="69"/>
      <c r="AB40" s="4"/>
      <c r="AC40" s="4"/>
      <c r="AD40" s="4"/>
      <c r="AE40" s="4"/>
    </row>
    <row r="41" spans="1:64" x14ac:dyDescent="0.2">
      <c r="B41" s="129"/>
      <c r="C41" s="1"/>
      <c r="D41" s="1"/>
      <c r="E41" s="1"/>
      <c r="L41" s="5"/>
      <c r="M41" s="5"/>
      <c r="N41" s="5"/>
      <c r="O41" s="5"/>
      <c r="S41" s="11"/>
      <c r="T41" s="21">
        <v>100</v>
      </c>
      <c r="U41" s="21">
        <v>14.6</v>
      </c>
      <c r="V41" s="21">
        <v>7.5</v>
      </c>
      <c r="W41" s="2"/>
      <c r="X41" s="1">
        <v>200</v>
      </c>
      <c r="Y41" s="11">
        <v>30</v>
      </c>
      <c r="Z41" s="11">
        <v>15</v>
      </c>
      <c r="AA41" s="69"/>
      <c r="AB41" s="4"/>
      <c r="AC41" s="4"/>
      <c r="AD41" s="4"/>
      <c r="AE41" s="4"/>
    </row>
    <row r="42" spans="1:64" x14ac:dyDescent="0.2">
      <c r="B42" s="1"/>
      <c r="C42" s="1"/>
      <c r="D42" s="1"/>
      <c r="E42" s="1"/>
      <c r="L42" s="5"/>
      <c r="M42" s="5"/>
      <c r="N42" s="5"/>
      <c r="O42" s="5"/>
      <c r="S42" s="11"/>
      <c r="T42" s="21">
        <v>125</v>
      </c>
      <c r="U42" s="21">
        <v>13.1</v>
      </c>
      <c r="V42" s="21">
        <v>7.25</v>
      </c>
      <c r="W42" s="2"/>
      <c r="X42" s="2">
        <v>300</v>
      </c>
      <c r="Y42" s="21">
        <v>33</v>
      </c>
      <c r="Z42" s="21">
        <v>20</v>
      </c>
      <c r="AA42" s="69"/>
      <c r="AB42" s="4"/>
      <c r="AC42" s="4"/>
      <c r="AD42" s="4"/>
      <c r="AE42" s="4"/>
    </row>
    <row r="43" spans="1:64" ht="15.75" x14ac:dyDescent="0.25">
      <c r="B43" s="127" t="s">
        <v>19</v>
      </c>
      <c r="C43" s="107" t="s">
        <v>20</v>
      </c>
      <c r="D43" s="127" t="s">
        <v>24</v>
      </c>
      <c r="E43" s="107" t="s">
        <v>25</v>
      </c>
      <c r="F43" s="128" t="s">
        <v>83</v>
      </c>
      <c r="K43" s="127" t="s">
        <v>19</v>
      </c>
      <c r="L43" s="107" t="s">
        <v>20</v>
      </c>
      <c r="M43" s="127" t="s">
        <v>24</v>
      </c>
      <c r="N43" s="107" t="s">
        <v>25</v>
      </c>
      <c r="O43" s="128" t="s">
        <v>83</v>
      </c>
      <c r="S43" s="11"/>
      <c r="T43" s="21">
        <v>150</v>
      </c>
      <c r="U43" s="21">
        <v>13.1</v>
      </c>
      <c r="V43" s="21">
        <v>7.25</v>
      </c>
      <c r="W43" s="2"/>
      <c r="X43" s="2">
        <v>400</v>
      </c>
      <c r="Y43" s="21">
        <v>37</v>
      </c>
      <c r="Z43" s="21">
        <v>29</v>
      </c>
      <c r="AA43" s="69"/>
      <c r="AB43" s="4"/>
      <c r="AC43" s="4"/>
      <c r="AD43" s="4"/>
      <c r="AE43" s="4"/>
    </row>
    <row r="44" spans="1:64" ht="15.75" x14ac:dyDescent="0.25">
      <c r="A44" s="108" t="s">
        <v>84</v>
      </c>
      <c r="B44" s="51"/>
      <c r="C44" s="11"/>
      <c r="D44" s="11"/>
      <c r="E44" s="11"/>
      <c r="F44" s="38"/>
      <c r="H44" s="122" t="s">
        <v>85</v>
      </c>
      <c r="M44" s="112"/>
      <c r="N44" s="112"/>
      <c r="S44" s="11"/>
      <c r="T44" s="21">
        <v>175</v>
      </c>
      <c r="U44" s="21">
        <v>12.4</v>
      </c>
      <c r="V44" s="21">
        <v>7</v>
      </c>
      <c r="W44" s="2"/>
      <c r="X44" s="2">
        <v>500</v>
      </c>
      <c r="Y44" s="21">
        <v>40</v>
      </c>
      <c r="Z44" s="21">
        <v>33</v>
      </c>
      <c r="AA44" s="69"/>
      <c r="AB44" s="4"/>
      <c r="AC44" s="4"/>
      <c r="AD44" s="4"/>
      <c r="AE44" s="4"/>
    </row>
    <row r="45" spans="1:64" x14ac:dyDescent="0.2">
      <c r="A45" s="1" t="s">
        <v>86</v>
      </c>
      <c r="B45" s="118">
        <f>Q33/B10</f>
        <v>3.9864285714285712</v>
      </c>
      <c r="C45" s="118">
        <f>R33/C10</f>
        <v>3.8949999999999996</v>
      </c>
      <c r="D45" s="118">
        <f>S33/D10</f>
        <v>4.1469999999999994</v>
      </c>
      <c r="E45" s="118">
        <f>T33/E10</f>
        <v>2.8369999999999997</v>
      </c>
      <c r="F45" s="143"/>
      <c r="G45" s="15"/>
      <c r="H45" s="15" t="s">
        <v>87</v>
      </c>
      <c r="K45" s="117">
        <f>AO33/AS33</f>
        <v>1.3946440888659815</v>
      </c>
      <c r="L45" s="117">
        <f>AP33/AT33</f>
        <v>1.3935291886687868</v>
      </c>
      <c r="M45" s="117">
        <f>AQ33/AU33</f>
        <v>1.1957644078775633</v>
      </c>
      <c r="N45" s="117">
        <f>AR33/AV33</f>
        <v>0.9775138973776889</v>
      </c>
      <c r="O45" s="155"/>
      <c r="S45" s="2"/>
      <c r="T45" s="21">
        <v>200</v>
      </c>
      <c r="U45" s="21">
        <v>12.4</v>
      </c>
      <c r="V45" s="21">
        <v>7</v>
      </c>
      <c r="W45" s="4"/>
      <c r="X45" s="2">
        <v>600</v>
      </c>
      <c r="Y45" s="21">
        <v>44</v>
      </c>
      <c r="Z45" s="21">
        <v>36</v>
      </c>
      <c r="AA45" s="2"/>
    </row>
    <row r="46" spans="1:64" x14ac:dyDescent="0.2">
      <c r="A46" s="1" t="s">
        <v>88</v>
      </c>
      <c r="B46" s="120">
        <f>B45/B11</f>
        <v>2.6576190476190475E-2</v>
      </c>
      <c r="C46" s="120">
        <f>C45/C11</f>
        <v>1.498076923076923E-2</v>
      </c>
      <c r="D46" s="120">
        <f>D45/D11</f>
        <v>1.1848571428571427E-2</v>
      </c>
      <c r="E46" s="120">
        <f>E45/E11</f>
        <v>5.6739999999999994E-3</v>
      </c>
      <c r="F46" s="144" t="s">
        <v>89</v>
      </c>
      <c r="G46" s="15"/>
      <c r="H46" s="119" t="s">
        <v>90</v>
      </c>
      <c r="K46" s="5">
        <f>AO33/B10-W15</f>
        <v>-0.71514285714285464</v>
      </c>
      <c r="L46" s="5">
        <f>AP33/C10-W16</f>
        <v>-1.3403999999999989</v>
      </c>
      <c r="M46" s="5">
        <f>AQ33/D10-X17</f>
        <v>4.7363</v>
      </c>
      <c r="N46" s="5">
        <f>AR33/E10-W18</f>
        <v>-23.206799999999998</v>
      </c>
      <c r="O46" s="155"/>
      <c r="Q46" s="25"/>
      <c r="R46" s="21"/>
      <c r="S46" s="2"/>
      <c r="T46" s="21">
        <v>225</v>
      </c>
      <c r="U46" s="21">
        <v>11.6</v>
      </c>
      <c r="V46" s="21">
        <v>6.75</v>
      </c>
      <c r="W46" s="4"/>
      <c r="X46" s="2"/>
      <c r="Y46" s="2"/>
      <c r="Z46" s="2"/>
      <c r="AA46" s="2"/>
    </row>
    <row r="47" spans="1:64" x14ac:dyDescent="0.2">
      <c r="A47" s="5" t="s">
        <v>91</v>
      </c>
      <c r="B47" s="118">
        <f>U33/B10</f>
        <v>1.8114285714285714</v>
      </c>
      <c r="C47" s="118">
        <f>V33/C10</f>
        <v>1.36</v>
      </c>
      <c r="D47" s="118">
        <f>W33/D10</f>
        <v>1.393</v>
      </c>
      <c r="E47" s="118">
        <f>X33/E10</f>
        <v>0</v>
      </c>
      <c r="F47" s="145"/>
      <c r="G47" s="15"/>
      <c r="H47" s="119" t="s">
        <v>92</v>
      </c>
      <c r="K47" s="5">
        <f>AS33/B10-X15</f>
        <v>5.8469999999999978</v>
      </c>
      <c r="L47" s="5">
        <f>AT33/C10-X16</f>
        <v>5.5661999999999985</v>
      </c>
      <c r="M47" s="5">
        <f>AU33/D10-X17</f>
        <v>0.68659999999999854</v>
      </c>
      <c r="N47" s="5">
        <f>AV33/E10-X18</f>
        <v>-15.820500000000003</v>
      </c>
      <c r="O47" s="155"/>
      <c r="R47" s="21"/>
      <c r="S47" s="24"/>
      <c r="T47" s="21">
        <v>250</v>
      </c>
      <c r="U47" s="21">
        <v>11.6</v>
      </c>
      <c r="V47" s="21">
        <v>6.75</v>
      </c>
      <c r="W47" s="4"/>
      <c r="X47" s="2"/>
      <c r="Y47" s="2"/>
      <c r="Z47" s="2"/>
      <c r="AA47" s="2"/>
    </row>
    <row r="48" spans="1:64" x14ac:dyDescent="0.2">
      <c r="A48" s="5" t="s">
        <v>93</v>
      </c>
      <c r="B48" s="118">
        <f>B45-B47</f>
        <v>2.1749999999999998</v>
      </c>
      <c r="C48" s="118">
        <f>C45-C47</f>
        <v>2.5349999999999993</v>
      </c>
      <c r="D48" s="118">
        <f>D45-D47</f>
        <v>2.7539999999999996</v>
      </c>
      <c r="E48" s="118">
        <f>E45-E47</f>
        <v>2.8369999999999997</v>
      </c>
      <c r="F48" s="144"/>
      <c r="G48" s="15"/>
      <c r="H48" s="15" t="s">
        <v>94</v>
      </c>
      <c r="K48" s="139">
        <f>AO33/Q33/1000</f>
        <v>6.593585378964345E-3</v>
      </c>
      <c r="L48" s="139">
        <f>AP33/R33/1000</f>
        <v>7.3580487804878062E-3</v>
      </c>
      <c r="M48" s="139">
        <f>AQ33/S33/1000</f>
        <v>5.9648661683144458E-3</v>
      </c>
      <c r="N48" s="139">
        <f>AR33/T33/1000</f>
        <v>5.9193514275643292E-3</v>
      </c>
      <c r="O48" s="150"/>
      <c r="R48" s="21"/>
      <c r="S48" s="23"/>
      <c r="T48" s="21">
        <v>275</v>
      </c>
      <c r="U48" s="21">
        <v>11.2</v>
      </c>
      <c r="V48" s="21">
        <v>6.5</v>
      </c>
      <c r="W48" s="4"/>
      <c r="X48" s="2"/>
      <c r="Y48" s="2"/>
      <c r="Z48" s="2"/>
      <c r="AA48" s="2"/>
    </row>
    <row r="49" spans="1:27" x14ac:dyDescent="0.2">
      <c r="A49" s="5" t="s">
        <v>95</v>
      </c>
      <c r="B49" s="121">
        <f>B47/B45</f>
        <v>0.45439885325210538</v>
      </c>
      <c r="C49" s="121">
        <f>C47/C45</f>
        <v>0.34916559691912713</v>
      </c>
      <c r="D49" s="121">
        <f>D47/D45</f>
        <v>0.33590547383650837</v>
      </c>
      <c r="E49" s="121">
        <f>E47/E45</f>
        <v>0</v>
      </c>
      <c r="F49" s="144" t="s">
        <v>96</v>
      </c>
      <c r="G49" s="15"/>
      <c r="H49" s="15" t="s">
        <v>97</v>
      </c>
      <c r="I49" s="15"/>
      <c r="J49" s="15"/>
      <c r="K49" s="139">
        <f>AS33/Q33/1000</f>
        <v>4.7277907185092269E-3</v>
      </c>
      <c r="L49" s="139">
        <f>AT33/R33/1000</f>
        <v>5.2801540436457003E-3</v>
      </c>
      <c r="M49" s="139">
        <f>AU33/S33/1000</f>
        <v>4.9883289124668445E-3</v>
      </c>
      <c r="N49" s="139">
        <f>AV33/T33/1000</f>
        <v>6.0555163905533999E-3</v>
      </c>
      <c r="O49" s="150" t="s">
        <v>98</v>
      </c>
      <c r="R49" s="21"/>
      <c r="S49" s="24"/>
      <c r="T49" s="21">
        <v>300</v>
      </c>
      <c r="U49" s="21">
        <v>11.2</v>
      </c>
      <c r="V49" s="21">
        <v>6.5</v>
      </c>
      <c r="W49" s="4"/>
      <c r="X49" s="2"/>
      <c r="Y49" s="2"/>
      <c r="Z49" s="2"/>
      <c r="AA49" s="2"/>
    </row>
    <row r="50" spans="1:27" x14ac:dyDescent="0.2">
      <c r="A50" s="5" t="s">
        <v>99</v>
      </c>
      <c r="B50" s="106">
        <f>B48/B12</f>
        <v>2.4166666666666665</v>
      </c>
      <c r="C50" s="106">
        <f>C48/C12</f>
        <v>2.816666666666666</v>
      </c>
      <c r="D50" s="106">
        <f>D48/D12</f>
        <v>3.0599999999999996</v>
      </c>
      <c r="E50" s="106">
        <f>E48/E12</f>
        <v>3.5462499999999997</v>
      </c>
      <c r="F50" s="146"/>
      <c r="G50" s="15"/>
      <c r="O50" s="151"/>
      <c r="R50" s="21"/>
      <c r="S50" s="23"/>
      <c r="T50" s="21">
        <v>325</v>
      </c>
      <c r="U50" s="21">
        <v>11.1</v>
      </c>
      <c r="V50" s="21">
        <v>6.5</v>
      </c>
      <c r="W50" s="4"/>
      <c r="X50" s="2"/>
      <c r="Y50" s="2"/>
      <c r="Z50" s="2"/>
      <c r="AA50" s="2"/>
    </row>
    <row r="51" spans="1:27" x14ac:dyDescent="0.2">
      <c r="B51" s="115"/>
      <c r="C51" s="120"/>
      <c r="D51" s="115"/>
      <c r="E51" s="113"/>
      <c r="F51" s="146"/>
      <c r="G51" s="15"/>
      <c r="O51" s="150"/>
      <c r="R51" s="21"/>
      <c r="S51" s="2"/>
      <c r="T51" s="21">
        <v>350</v>
      </c>
      <c r="U51" s="21">
        <v>11.1</v>
      </c>
      <c r="V51" s="21">
        <v>6.5</v>
      </c>
      <c r="W51" s="4"/>
      <c r="X51" s="2"/>
      <c r="Y51" s="2"/>
      <c r="Z51" s="2"/>
      <c r="AA51" s="2"/>
    </row>
    <row r="52" spans="1:27" ht="15.75" x14ac:dyDescent="0.25">
      <c r="A52" s="116" t="s">
        <v>100</v>
      </c>
      <c r="B52" s="115">
        <f>Y33/B10/B12</f>
        <v>50.442222222222227</v>
      </c>
      <c r="C52" s="115">
        <f>Z33/C10/C12</f>
        <v>50.061777777777785</v>
      </c>
      <c r="D52" s="115">
        <f>AA33/D10/D12</f>
        <v>53.329111111111111</v>
      </c>
      <c r="E52" s="115">
        <f>AB33/E10/E12</f>
        <v>43.823999999999991</v>
      </c>
      <c r="F52" s="147"/>
      <c r="G52" s="15"/>
      <c r="H52" s="125" t="s">
        <v>101</v>
      </c>
      <c r="O52" s="151"/>
      <c r="R52" s="21"/>
      <c r="S52" s="2"/>
      <c r="T52" s="21">
        <v>375</v>
      </c>
      <c r="U52" s="21">
        <v>10.8</v>
      </c>
      <c r="V52" s="21">
        <v>6.5</v>
      </c>
      <c r="W52" s="2"/>
      <c r="X52" s="2"/>
      <c r="Y52" s="2"/>
      <c r="Z52" s="2"/>
      <c r="AA52" s="2"/>
    </row>
    <row r="53" spans="1:27" x14ac:dyDescent="0.2">
      <c r="A53" s="15" t="s">
        <v>102</v>
      </c>
      <c r="B53" s="120">
        <f>AG35</f>
        <v>0.14516126142268412</v>
      </c>
      <c r="C53" s="120">
        <f>AH35</f>
        <v>0.15611476251604622</v>
      </c>
      <c r="D53" s="120">
        <f>AI35</f>
        <v>0.13362961176754282</v>
      </c>
      <c r="E53" s="120">
        <f>AJ35</f>
        <v>0.13130207966161439</v>
      </c>
      <c r="F53" s="148" t="s">
        <v>103</v>
      </c>
      <c r="G53" s="15"/>
      <c r="H53" s="126" t="s">
        <v>104</v>
      </c>
      <c r="K53" s="142">
        <f>AW33/Q33</f>
        <v>1.5278623902526431</v>
      </c>
      <c r="L53" s="142">
        <f>AX33/R33</f>
        <v>1.4287548138639283</v>
      </c>
      <c r="M53" s="142">
        <f>AY33/S33</f>
        <v>1.26428743670123</v>
      </c>
      <c r="N53" s="142">
        <f>AZ33/T33</f>
        <v>1.3923158265773705</v>
      </c>
      <c r="O53" s="153"/>
      <c r="R53" s="21"/>
      <c r="S53" s="2"/>
      <c r="T53" s="21">
        <v>400</v>
      </c>
      <c r="U53" s="21">
        <v>10.8</v>
      </c>
      <c r="V53" s="21">
        <v>6.5</v>
      </c>
      <c r="W53" s="2"/>
      <c r="X53" s="2"/>
      <c r="Y53" s="2"/>
      <c r="Z53" s="2"/>
      <c r="AA53" s="2"/>
    </row>
    <row r="54" spans="1:27" x14ac:dyDescent="0.2">
      <c r="A54" s="1" t="s">
        <v>105</v>
      </c>
      <c r="B54" s="118">
        <f>AG33/Y33</f>
        <v>12.746706903387816</v>
      </c>
      <c r="C54" s="118">
        <f>AH33/Z33</f>
        <v>13.495925034845834</v>
      </c>
      <c r="D54" s="118">
        <f>AI33/AA33</f>
        <v>11.545955721494616</v>
      </c>
      <c r="E54" s="118">
        <f>AJ33/AB33</f>
        <v>10.624999999999998</v>
      </c>
      <c r="F54" s="149" t="s">
        <v>106</v>
      </c>
      <c r="G54" s="15"/>
      <c r="H54" s="126" t="s">
        <v>107</v>
      </c>
      <c r="K54" s="142">
        <f>AW33/B10</f>
        <v>6.0907142857142862</v>
      </c>
      <c r="L54" s="142">
        <f>AX33/C10</f>
        <v>5.5650000000000004</v>
      </c>
      <c r="M54" s="142">
        <f>AY33/D10</f>
        <v>5.2430000000000003</v>
      </c>
      <c r="N54" s="142">
        <f>AZ33/E10</f>
        <v>3.95</v>
      </c>
      <c r="O54" s="153"/>
      <c r="R54" s="21"/>
      <c r="S54" s="2"/>
      <c r="T54" s="21">
        <v>425</v>
      </c>
      <c r="U54" s="21">
        <v>10.6</v>
      </c>
      <c r="V54" s="21">
        <v>6.5</v>
      </c>
      <c r="W54" s="2"/>
      <c r="X54" s="2"/>
      <c r="Y54" s="2"/>
      <c r="Z54" s="2"/>
      <c r="AA54" s="2"/>
    </row>
    <row r="55" spans="1:27" x14ac:dyDescent="0.2">
      <c r="A55" s="116" t="s">
        <v>108</v>
      </c>
      <c r="B55" s="118">
        <f>AC33/Y33</f>
        <v>7.3422208656139656</v>
      </c>
      <c r="C55" s="118">
        <f>AD33/Z33</f>
        <v>7.3170260744502338</v>
      </c>
      <c r="D55" s="118">
        <f>AE33/AA33</f>
        <v>6.6509431996699728</v>
      </c>
      <c r="E55" s="118">
        <f>AF33/AB33</f>
        <v>6.5625</v>
      </c>
      <c r="F55" s="149" t="s">
        <v>109</v>
      </c>
      <c r="G55" s="15"/>
      <c r="H55" s="126" t="s">
        <v>110</v>
      </c>
      <c r="K55" s="142">
        <f>K54/B12</f>
        <v>6.7674603174603174</v>
      </c>
      <c r="L55" s="142">
        <f>L54/C12</f>
        <v>6.1833333333333336</v>
      </c>
      <c r="M55" s="142">
        <f>M54/D12</f>
        <v>5.8255555555555558</v>
      </c>
      <c r="N55" s="142">
        <f>N54/E12</f>
        <v>4.9375</v>
      </c>
      <c r="O55" s="153"/>
      <c r="R55" s="21"/>
      <c r="S55" s="2"/>
      <c r="T55" s="21">
        <v>450</v>
      </c>
      <c r="U55" s="21">
        <v>10.6</v>
      </c>
      <c r="V55" s="21">
        <v>6.5</v>
      </c>
      <c r="W55" s="2"/>
      <c r="X55" s="2"/>
      <c r="Y55" s="2"/>
      <c r="Z55" s="2"/>
      <c r="AA55" s="2"/>
    </row>
    <row r="56" spans="1:27" x14ac:dyDescent="0.2">
      <c r="A56" s="15" t="s">
        <v>111</v>
      </c>
      <c r="B56" s="121">
        <f>AK35</f>
        <v>0.42573427701128835</v>
      </c>
      <c r="C56" s="121">
        <f>AL35</f>
        <v>0.37876379974326069</v>
      </c>
      <c r="D56" s="121">
        <f>AM35</f>
        <v>0.36504557511454067</v>
      </c>
      <c r="E56" s="121">
        <f>AN35</f>
        <v>0.25101868170602748</v>
      </c>
      <c r="F56" s="150" t="s">
        <v>133</v>
      </c>
      <c r="G56" s="15"/>
      <c r="O56" s="153"/>
      <c r="R56" s="21"/>
      <c r="S56" s="2"/>
      <c r="T56" s="21">
        <v>475</v>
      </c>
      <c r="U56" s="21">
        <v>10.4</v>
      </c>
      <c r="V56" s="21">
        <v>6.5</v>
      </c>
      <c r="W56" s="2"/>
      <c r="X56" s="2"/>
      <c r="Y56" s="2"/>
      <c r="Z56" s="2"/>
      <c r="AA56" s="2"/>
    </row>
    <row r="57" spans="1:27" x14ac:dyDescent="0.2">
      <c r="A57" s="1" t="s">
        <v>112</v>
      </c>
      <c r="B57" s="120">
        <f>AK33/B10/B11/1000</f>
        <v>1.1314395238095239E-2</v>
      </c>
      <c r="C57" s="120">
        <f>AL33/C10/C11/1000</f>
        <v>5.6741730769230784E-3</v>
      </c>
      <c r="D57" s="120">
        <f>AM33/D10/D11/1000</f>
        <v>4.3252685714285704E-3</v>
      </c>
      <c r="E57" s="120">
        <f>AN33/E10/E11/1000</f>
        <v>1.42428E-3</v>
      </c>
      <c r="F57" s="150"/>
      <c r="G57" s="15"/>
      <c r="O57" s="153"/>
      <c r="R57" s="21"/>
      <c r="S57" s="2"/>
      <c r="T57" s="21">
        <v>500</v>
      </c>
      <c r="U57" s="21">
        <v>10.4</v>
      </c>
      <c r="V57" s="21">
        <v>6.5</v>
      </c>
      <c r="W57" s="2"/>
      <c r="X57" s="2"/>
      <c r="Y57" s="2"/>
      <c r="Z57" s="2"/>
      <c r="AA57" s="2"/>
    </row>
    <row r="58" spans="1:27" ht="15.75" x14ac:dyDescent="0.25">
      <c r="A58" s="5" t="s">
        <v>113</v>
      </c>
      <c r="B58" s="141">
        <f>Y33/Q33</f>
        <v>11.388138326464793</v>
      </c>
      <c r="C58" s="141">
        <f>Z33/R33</f>
        <v>11.567548138639284</v>
      </c>
      <c r="D58" s="141">
        <f>AA33/S33</f>
        <v>11.573715939233184</v>
      </c>
      <c r="E58" s="141">
        <f>AB33/T33</f>
        <v>12.357842791681355</v>
      </c>
      <c r="F58" s="150"/>
      <c r="G58" s="15"/>
      <c r="H58" s="123" t="s">
        <v>114</v>
      </c>
      <c r="I58" s="15"/>
      <c r="J58" s="113"/>
      <c r="K58" s="113"/>
      <c r="L58" s="113"/>
      <c r="M58" s="15"/>
      <c r="N58" s="112"/>
      <c r="O58" s="153"/>
      <c r="R58" s="21"/>
      <c r="S58" s="2"/>
      <c r="T58" s="21">
        <v>525</v>
      </c>
      <c r="U58" s="21">
        <v>10.1</v>
      </c>
      <c r="V58" s="21">
        <v>6.5</v>
      </c>
      <c r="W58" s="2"/>
      <c r="X58" s="2"/>
      <c r="Y58" s="2"/>
      <c r="Z58" s="2"/>
      <c r="AA58" s="2"/>
    </row>
    <row r="59" spans="1:27" ht="15.75" x14ac:dyDescent="0.25">
      <c r="F59" s="151"/>
      <c r="G59" s="15"/>
      <c r="H59" s="15" t="s">
        <v>115</v>
      </c>
      <c r="I59" s="15"/>
      <c r="J59" s="15"/>
      <c r="K59" s="124">
        <f>((B13-B11)*0.0256)/(AG33/1000/6.25/B10*B14)</f>
        <v>0.24884434267939684</v>
      </c>
      <c r="L59" s="124">
        <f>((C13-C11)*0.0256)/(AH33/1000/6.25/C10*C14)</f>
        <v>0.2368160087621923</v>
      </c>
      <c r="M59" s="124">
        <f>((D13-D11)*0.0256)/(AI33/1000/6.25/D10*D14)</f>
        <v>0.25985181228593801</v>
      </c>
      <c r="N59" s="124">
        <f>((E13-E11)*0.0256)/(AJ33/1000/6.25/E10*E14)</f>
        <v>0.34362047118957112</v>
      </c>
      <c r="O59" s="153" t="s">
        <v>116</v>
      </c>
      <c r="R59" s="44"/>
      <c r="T59" s="21">
        <v>550</v>
      </c>
      <c r="U59" s="21">
        <v>10.1</v>
      </c>
      <c r="V59" s="21">
        <v>6.5</v>
      </c>
      <c r="W59" s="2"/>
      <c r="X59" s="2"/>
      <c r="Y59" s="2"/>
      <c r="Z59" s="2"/>
      <c r="AA59" s="2"/>
    </row>
    <row r="60" spans="1:27" x14ac:dyDescent="0.2">
      <c r="F60" s="150"/>
      <c r="G60" s="15"/>
      <c r="H60" s="1" t="s">
        <v>117</v>
      </c>
      <c r="K60" s="46">
        <f>BA35</f>
        <v>3.2037448485934428E-2</v>
      </c>
      <c r="L60" s="46">
        <f>BB35</f>
        <v>3.2789473684210535E-2</v>
      </c>
      <c r="M60" s="46">
        <f>BC35</f>
        <v>0</v>
      </c>
      <c r="N60" s="46">
        <f>BD35</f>
        <v>0</v>
      </c>
      <c r="O60" s="153"/>
      <c r="R60" s="44"/>
      <c r="T60" s="21">
        <v>575</v>
      </c>
      <c r="U60" s="21">
        <v>10.1</v>
      </c>
      <c r="V60" s="21">
        <v>6.5</v>
      </c>
      <c r="W60" s="2"/>
      <c r="X60" s="2"/>
      <c r="Y60" s="2"/>
      <c r="Z60" s="2"/>
      <c r="AA60" s="2"/>
    </row>
    <row r="61" spans="1:27" ht="15.75" x14ac:dyDescent="0.25">
      <c r="A61" s="114" t="s">
        <v>118</v>
      </c>
      <c r="B61" s="39"/>
      <c r="C61" s="39"/>
      <c r="D61" s="72"/>
      <c r="E61" s="45"/>
      <c r="F61" s="151"/>
      <c r="G61" s="15"/>
      <c r="M61" s="113"/>
      <c r="N61" s="112"/>
      <c r="O61" s="156"/>
      <c r="R61" s="67"/>
      <c r="T61" s="21">
        <v>600</v>
      </c>
      <c r="U61" s="21">
        <v>10.1</v>
      </c>
      <c r="V61" s="21">
        <v>6.5</v>
      </c>
      <c r="W61" s="2"/>
      <c r="X61" s="2"/>
      <c r="Y61" s="2"/>
      <c r="Z61" s="2"/>
      <c r="AA61" s="2"/>
    </row>
    <row r="62" spans="1:27" x14ac:dyDescent="0.2">
      <c r="A62" s="39" t="s">
        <v>119</v>
      </c>
      <c r="B62" s="138">
        <f>Y33/B10/T15</f>
        <v>0.93685251477017462</v>
      </c>
      <c r="C62" s="138">
        <f>Z33/C10/T16</f>
        <v>0.68757476804508588</v>
      </c>
      <c r="D62" s="138">
        <f>AA33/D10/T17</f>
        <v>0.61041661399505232</v>
      </c>
      <c r="E62" s="138">
        <f>AB33/E10/T18</f>
        <v>0.37870443385520408</v>
      </c>
      <c r="F62" s="152">
        <v>1</v>
      </c>
      <c r="G62" s="15"/>
      <c r="L62" s="113"/>
      <c r="M62" s="113"/>
      <c r="N62" s="15"/>
      <c r="O62" s="153"/>
      <c r="T62" s="21">
        <v>625</v>
      </c>
      <c r="U62" s="21">
        <v>10.1</v>
      </c>
      <c r="V62" s="21">
        <v>6.5</v>
      </c>
      <c r="W62" s="2"/>
      <c r="X62" s="2"/>
      <c r="Y62" s="2"/>
      <c r="Z62" s="2"/>
      <c r="AA62" s="2"/>
    </row>
    <row r="63" spans="1:27" ht="15.75" x14ac:dyDescent="0.25">
      <c r="A63" s="1" t="s">
        <v>8</v>
      </c>
      <c r="B63" s="40">
        <f>AG33/B10/U15</f>
        <v>0.91158659675398612</v>
      </c>
      <c r="C63" s="40">
        <f>AH33/C10/U16</f>
        <v>0.79995323494724069</v>
      </c>
      <c r="D63" s="40">
        <f>AI33/D10/U17</f>
        <v>0.63494082854518441</v>
      </c>
      <c r="E63" s="40">
        <f>AJ33/E10/U18</f>
        <v>0.38689755862610992</v>
      </c>
      <c r="F63" s="152">
        <v>1</v>
      </c>
      <c r="G63" s="15"/>
      <c r="H63" s="123" t="s">
        <v>120</v>
      </c>
      <c r="O63" s="153"/>
      <c r="U63" s="2"/>
      <c r="V63" s="2"/>
      <c r="W63" s="2"/>
      <c r="X63" s="2"/>
      <c r="Y63" s="2"/>
      <c r="Z63" s="2"/>
      <c r="AA63" s="2"/>
    </row>
    <row r="64" spans="1:27" x14ac:dyDescent="0.2">
      <c r="A64" s="39" t="s">
        <v>121</v>
      </c>
      <c r="B64" s="119">
        <f>AC33/B10/V15</f>
        <v>0.94876939061358512</v>
      </c>
      <c r="C64" s="119">
        <f>AD33/C10/V16</f>
        <v>0.74533370458073556</v>
      </c>
      <c r="D64" s="119">
        <f>AE33/D10/V17</f>
        <v>0.6245917273563022</v>
      </c>
      <c r="E64" s="119">
        <f>AF33/E10/V18</f>
        <v>0.38234582264227335</v>
      </c>
      <c r="F64" s="152">
        <v>1</v>
      </c>
      <c r="G64" s="15"/>
      <c r="H64" s="15" t="s">
        <v>122</v>
      </c>
      <c r="K64" s="40">
        <f>BE33/Q33</f>
        <v>0</v>
      </c>
      <c r="L64" s="40">
        <f>BF33/R33</f>
        <v>0</v>
      </c>
      <c r="M64" s="40">
        <f>BG33/S33</f>
        <v>0</v>
      </c>
      <c r="N64" s="40">
        <f>BH33/T33</f>
        <v>0</v>
      </c>
      <c r="O64" s="156" t="s">
        <v>123</v>
      </c>
      <c r="U64" s="2"/>
      <c r="V64" s="2"/>
      <c r="W64" s="2"/>
      <c r="X64" s="2"/>
      <c r="Y64" s="2"/>
      <c r="Z64" s="2"/>
      <c r="AA64" s="2"/>
    </row>
    <row r="65" spans="1:27" x14ac:dyDescent="0.2">
      <c r="F65" s="153"/>
      <c r="G65" s="15"/>
      <c r="O65" s="155"/>
      <c r="U65" s="2"/>
      <c r="V65" s="2"/>
      <c r="W65" s="2"/>
      <c r="X65" s="2"/>
      <c r="Y65" s="2"/>
      <c r="Z65" s="2"/>
      <c r="AA65" s="2"/>
    </row>
    <row r="66" spans="1:27" x14ac:dyDescent="0.2">
      <c r="F66" s="153"/>
      <c r="G66" s="15"/>
      <c r="H66" s="15"/>
      <c r="I66" s="15"/>
      <c r="J66" s="15"/>
      <c r="K66" s="15"/>
      <c r="L66" s="113"/>
      <c r="M66" s="15"/>
      <c r="N66" s="113"/>
      <c r="O66" s="153"/>
      <c r="R66" s="21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x14ac:dyDescent="0.25">
      <c r="A67" s="108" t="s">
        <v>124</v>
      </c>
      <c r="F67" s="153"/>
      <c r="G67" s="15"/>
      <c r="O67" s="155"/>
      <c r="R67" s="21"/>
      <c r="S67" s="2"/>
      <c r="W67" s="2"/>
      <c r="X67" s="2"/>
      <c r="Y67" s="2"/>
      <c r="Z67" s="2"/>
      <c r="AA67" s="2"/>
    </row>
    <row r="68" spans="1:27" x14ac:dyDescent="0.2">
      <c r="A68" s="1" t="s">
        <v>125</v>
      </c>
      <c r="B68" s="5">
        <f>Y33/B10-T5</f>
        <v>24.02077378531586</v>
      </c>
      <c r="C68" s="5">
        <f>Z33/C10-T6</f>
        <v>12.762263375754472</v>
      </c>
      <c r="D68" s="5">
        <f>AA33/D10-T7</f>
        <v>7.637799854869769</v>
      </c>
      <c r="E68" s="5">
        <f>AB33/E10-T8</f>
        <v>-17.677191764098147</v>
      </c>
      <c r="F68" s="153"/>
      <c r="G68" s="15"/>
      <c r="O68" s="155"/>
      <c r="R68" s="21"/>
      <c r="S68" s="2"/>
      <c r="W68" s="2"/>
      <c r="X68" s="2"/>
      <c r="Y68" s="2"/>
      <c r="Z68" s="2"/>
      <c r="AA68" s="2"/>
    </row>
    <row r="69" spans="1:27" x14ac:dyDescent="0.2">
      <c r="A69" s="1" t="s">
        <v>126</v>
      </c>
      <c r="B69" s="69">
        <f>((0.435*B68)/(6.28+0.0188*B11))/(1+(((0.435*B68)/(6.28+0.0188*B11))*0.3))/1.05</f>
        <v>0.81337952669575542</v>
      </c>
      <c r="C69" s="69">
        <f>((0.435*C68)/(6.28+0.0188*C11))/(1+(((0.435*C68)/(6.28+0.0188*C11))*0.3))/1.05</f>
        <v>0.41198687384912513</v>
      </c>
      <c r="D69" s="69">
        <f>((0.435*D68)/(6.28+0.0188*D11))/(1+(((0.435*D68)/(6.28+0.0188*D11))*0.3))/1.05</f>
        <v>0.22835334963921722</v>
      </c>
      <c r="E69" s="69">
        <f>((0.435*E68)/(6.28+0.0188*E11))/(1+(((0.435*E68)/(6.28+0.0188*E11))*0.3))/1.05</f>
        <v>-0.54762123355096592</v>
      </c>
      <c r="F69" s="154"/>
      <c r="I69" s="15"/>
      <c r="J69" s="15"/>
      <c r="K69" s="15"/>
      <c r="L69" s="113"/>
      <c r="M69" s="15"/>
      <c r="N69" s="113"/>
      <c r="R69" s="21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1" t="s">
        <v>127</v>
      </c>
      <c r="B70" s="158">
        <f>F4+((B13-B11)/B69)</f>
        <v>38408.775348249721</v>
      </c>
      <c r="C70" s="158">
        <f>G4+((C13-C11)/C69)</f>
        <v>703.90592129933179</v>
      </c>
      <c r="D70" s="158">
        <f>H4+((D13-D11)/D69)</f>
        <v>875.83563068370324</v>
      </c>
      <c r="E70" s="158">
        <f>I4+((E13-E11)/E69)</f>
        <v>-182.60796673563101</v>
      </c>
      <c r="F70" s="155"/>
      <c r="I70" s="15"/>
      <c r="J70" s="15"/>
      <c r="K70" s="121"/>
      <c r="M70" s="15"/>
      <c r="N70" s="113"/>
      <c r="R70" s="21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R71" s="21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">
      <c r="B72" s="1"/>
      <c r="C72" s="1"/>
      <c r="O72" s="2"/>
      <c r="P72" s="2"/>
      <c r="Q72" s="21"/>
      <c r="R72" s="21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">
      <c r="B73" s="1"/>
      <c r="C73" s="1"/>
      <c r="H73" s="2"/>
      <c r="L73" s="2"/>
      <c r="M73" s="2"/>
      <c r="N73" s="2"/>
      <c r="O73" s="2"/>
      <c r="P73" s="2"/>
      <c r="Q73" s="21"/>
      <c r="R73" s="21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H74" s="2"/>
      <c r="L74" s="2"/>
      <c r="M74" s="2"/>
      <c r="N74" s="26"/>
      <c r="O74" s="26"/>
      <c r="P74" s="2"/>
      <c r="Q74" s="21"/>
      <c r="R74" s="21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G75" s="27"/>
      <c r="H75" s="27"/>
      <c r="I75" s="2"/>
      <c r="J75" s="2"/>
      <c r="K75" s="2"/>
      <c r="L75" s="2"/>
      <c r="M75" s="28"/>
      <c r="N75" s="28"/>
      <c r="O75" s="29"/>
      <c r="P75" s="2"/>
      <c r="Q75" s="21"/>
      <c r="R75" s="21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F76" s="27"/>
      <c r="G76" s="2"/>
      <c r="H76" s="19"/>
      <c r="I76" s="2"/>
      <c r="J76" s="2"/>
      <c r="K76" s="2"/>
      <c r="L76" s="2"/>
      <c r="M76" s="2"/>
      <c r="N76" s="2"/>
      <c r="O76" s="30"/>
      <c r="P76" s="2"/>
      <c r="Q76" s="21"/>
      <c r="R76" s="21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F77" s="30"/>
      <c r="G77" s="2"/>
      <c r="H77" s="2"/>
      <c r="I77" s="2"/>
      <c r="J77" s="2"/>
      <c r="K77" s="2"/>
      <c r="L77" s="19"/>
      <c r="M77" s="2"/>
      <c r="N77" s="2"/>
      <c r="O77" s="2"/>
      <c r="P77" s="2"/>
      <c r="Q77" s="21"/>
      <c r="R77" s="21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"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1"/>
      <c r="R78" s="21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1"/>
      <c r="R79" s="21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1"/>
      <c r="R80" s="21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1"/>
      <c r="R81" s="21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">
      <c r="F82" s="2"/>
      <c r="G82" s="2"/>
      <c r="H82" s="2"/>
      <c r="I82" s="2"/>
      <c r="J82" s="2"/>
      <c r="K82" s="2"/>
      <c r="L82" s="2"/>
      <c r="M82" s="2"/>
      <c r="N82" s="2"/>
      <c r="O82" s="2"/>
      <c r="Q82" s="21"/>
      <c r="R82" s="21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27" x14ac:dyDescent="0.2">
      <c r="A84" s="2"/>
      <c r="F84" s="2"/>
      <c r="I84" s="13"/>
    </row>
    <row r="85" spans="1:27" x14ac:dyDescent="0.2">
      <c r="A85" s="2"/>
    </row>
  </sheetData>
  <mergeCells count="14">
    <mergeCell ref="Y21:AB21"/>
    <mergeCell ref="F5:H5"/>
    <mergeCell ref="AO21:AR21"/>
    <mergeCell ref="AS21:AV21"/>
    <mergeCell ref="AC21:AF21"/>
    <mergeCell ref="U21:X21"/>
    <mergeCell ref="AG21:AJ21"/>
    <mergeCell ref="AK21:AN21"/>
    <mergeCell ref="Q21:T21"/>
    <mergeCell ref="C8:D8"/>
    <mergeCell ref="E8:F8"/>
    <mergeCell ref="B20:E20"/>
    <mergeCell ref="G20:M20"/>
    <mergeCell ref="F4:G4"/>
  </mergeCells>
  <phoneticPr fontId="0" type="noConversion"/>
  <pageMargins left="0.79" right="0.97" top="0.3" bottom="0.31" header="0.3" footer="0.28000000000000003"/>
  <pageSetup paperSize="9" scale="83" orientation="landscape" horizontalDpi="4294967293" verticalDpi="300" r:id="rId1"/>
  <headerFooter alignWithMargins="0"/>
  <rowBreaks count="1" manualBreakCount="1">
    <brk id="35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85"/>
  <sheetViews>
    <sheetView tabSelected="1" topLeftCell="A29" zoomScale="90" zoomScaleNormal="90" workbookViewId="0">
      <selection activeCell="F36" sqref="F36"/>
    </sheetView>
  </sheetViews>
  <sheetFormatPr defaultColWidth="9.28515625" defaultRowHeight="15" x14ac:dyDescent="0.2"/>
  <cols>
    <col min="1" max="1" width="30.7109375" style="1" customWidth="1"/>
    <col min="2" max="2" width="10.28515625" style="2" customWidth="1"/>
    <col min="3" max="3" width="11" style="2" customWidth="1"/>
    <col min="4" max="4" width="15.28515625" style="2" customWidth="1"/>
    <col min="5" max="5" width="17.28515625" style="2" customWidth="1"/>
    <col min="6" max="6" width="8.7109375" style="1" customWidth="1"/>
    <col min="7" max="7" width="5.7109375" style="1" customWidth="1"/>
    <col min="8" max="8" width="8.5703125" style="1" customWidth="1"/>
    <col min="9" max="9" width="6.28515625" style="1" customWidth="1"/>
    <col min="10" max="10" width="7.7109375" style="1" customWidth="1"/>
    <col min="11" max="11" width="10.28515625" style="1" customWidth="1"/>
    <col min="12" max="12" width="11.42578125" style="1" customWidth="1"/>
    <col min="13" max="13" width="9.42578125" style="1" customWidth="1"/>
    <col min="14" max="14" width="9.28515625" style="1" customWidth="1"/>
    <col min="15" max="15" width="8.28515625" style="1" customWidth="1"/>
    <col min="16" max="16" width="9.5703125" style="11" bestFit="1" customWidth="1"/>
    <col min="17" max="17" width="8.42578125" style="11" customWidth="1"/>
    <col min="18" max="18" width="8.42578125" style="1" customWidth="1"/>
    <col min="19" max="19" width="14" style="1" customWidth="1"/>
    <col min="20" max="20" width="12.5703125" style="1" bestFit="1" customWidth="1"/>
    <col min="21" max="21" width="10" style="1" bestFit="1" customWidth="1"/>
    <col min="22" max="23" width="8.5703125" style="1" bestFit="1" customWidth="1"/>
    <col min="24" max="24" width="10" style="1" bestFit="1" customWidth="1"/>
    <col min="25" max="25" width="8" style="1" customWidth="1"/>
    <col min="26" max="26" width="7.7109375" style="1" customWidth="1"/>
    <col min="27" max="28" width="6.5703125" style="1" customWidth="1"/>
    <col min="29" max="37" width="9.28515625" style="1" customWidth="1"/>
    <col min="38" max="39" width="9.7109375" style="1" bestFit="1" customWidth="1"/>
    <col min="40" max="47" width="9.28515625" style="1" bestFit="1" customWidth="1"/>
    <col min="48" max="48" width="9.7109375" style="1" bestFit="1" customWidth="1"/>
    <col min="49" max="53" width="9.28515625" style="1" bestFit="1" customWidth="1"/>
    <col min="54" max="16384" width="9.28515625" style="1"/>
  </cols>
  <sheetData>
    <row r="1" spans="1:34" ht="15.75" x14ac:dyDescent="0.25">
      <c r="P1" s="250" t="s">
        <v>1</v>
      </c>
      <c r="Q1" s="245"/>
      <c r="R1" s="251"/>
      <c r="T1" s="33" t="s">
        <v>240</v>
      </c>
      <c r="AB1" s="246" t="s">
        <v>225</v>
      </c>
      <c r="AC1" s="247" t="s">
        <v>209</v>
      </c>
      <c r="AD1" s="247" t="s">
        <v>223</v>
      </c>
      <c r="AE1" s="248">
        <f xml:space="preserve"> EXP( AE9 + AE11 * LN( B11))</f>
        <v>436.85183387472347</v>
      </c>
      <c r="AF1" s="248">
        <f xml:space="preserve"> EXP( AF9 + AF11 * LN( C11))</f>
        <v>365.48694839139898</v>
      </c>
      <c r="AG1" s="248">
        <f xml:space="preserve"> EXP( AG9 + AG11 * LN( D11))</f>
        <v>303.29793827734903</v>
      </c>
      <c r="AH1" s="248">
        <f xml:space="preserve"> EXP( AH9 + AH11 * LN( E11))</f>
        <v>329.91834733733697</v>
      </c>
    </row>
    <row r="2" spans="1:34" ht="26.25" x14ac:dyDescent="0.4">
      <c r="A2" s="10" t="s">
        <v>0</v>
      </c>
      <c r="P2" s="34" t="s">
        <v>4</v>
      </c>
      <c r="T2" s="35" t="s">
        <v>241</v>
      </c>
      <c r="AB2" s="247"/>
      <c r="AC2" s="247" t="s">
        <v>203</v>
      </c>
      <c r="AD2" s="247" t="s">
        <v>222</v>
      </c>
      <c r="AE2" s="248">
        <f xml:space="preserve"> AE1* AE11 * B12*1000/ B11</f>
        <v>1340.6982781615263</v>
      </c>
      <c r="AF2" s="248">
        <f xml:space="preserve"> AF1* AF11 * C12*1000/ C11</f>
        <v>1335.3326721585754</v>
      </c>
      <c r="AG2" s="248">
        <f xml:space="preserve"> AG1* AG11 * D12*1000/ D11</f>
        <v>1329.7448179616915</v>
      </c>
      <c r="AH2" s="248">
        <f xml:space="preserve"> AH1* AH11 * E12*1000/ E11</f>
        <v>1065.8099031350389</v>
      </c>
    </row>
    <row r="3" spans="1:34" ht="25.5" x14ac:dyDescent="0.2">
      <c r="G3" s="12"/>
      <c r="H3" s="12"/>
      <c r="N3" s="2"/>
      <c r="P3" s="210" t="s">
        <v>2</v>
      </c>
      <c r="Q3" s="50"/>
      <c r="R3" s="21"/>
      <c r="S3" s="164" t="s">
        <v>3</v>
      </c>
      <c r="T3" s="2"/>
      <c r="U3" s="2"/>
      <c r="V3" s="2"/>
      <c r="W3" s="2"/>
      <c r="AB3" s="247"/>
      <c r="AC3" s="247" t="s">
        <v>204</v>
      </c>
      <c r="AD3" s="247" t="s">
        <v>222</v>
      </c>
      <c r="AE3" s="248">
        <f>1000*(((((EXP(AE14+AE16*LN(AE1)+0*(LN(AE1)^2)))/AE1)*(AE16+2*0*LN(AE1))*AE18)/((AE18)^1.78))*(AE2/1000)^1.78)</f>
        <v>69.772678761624945</v>
      </c>
      <c r="AF3" s="248">
        <f t="shared" ref="AF3:AH3" si="0">1000*(((((EXP(AF14+AF16*LN(AF1)+0*(LN(AF1)^2)))/AF1)*(AF16+2*0*LN(AF1))*AF18)/((AF18)^1.78))*(AF2/1000)^1.78)</f>
        <v>64.842891634895182</v>
      </c>
      <c r="AG3" s="248">
        <f t="shared" si="0"/>
        <v>60.059954403979312</v>
      </c>
      <c r="AH3" s="248">
        <f t="shared" si="0"/>
        <v>41.792205715450635</v>
      </c>
    </row>
    <row r="4" spans="1:34" ht="15.75" x14ac:dyDescent="0.25">
      <c r="A4" s="1" t="s">
        <v>12</v>
      </c>
      <c r="B4" s="165" t="s">
        <v>147</v>
      </c>
      <c r="C4" s="1"/>
      <c r="D4" s="1" t="s">
        <v>13</v>
      </c>
      <c r="E4" s="1"/>
      <c r="F4" s="271">
        <v>40147</v>
      </c>
      <c r="G4" s="272"/>
      <c r="H4" s="12"/>
      <c r="I4" s="16"/>
      <c r="N4" s="16"/>
      <c r="O4" s="2"/>
      <c r="P4" s="2"/>
      <c r="Q4" s="21" t="s">
        <v>5</v>
      </c>
      <c r="R4" s="21" t="s">
        <v>6</v>
      </c>
      <c r="S4" s="21" t="s">
        <v>7</v>
      </c>
      <c r="T4" s="2" t="s">
        <v>8</v>
      </c>
      <c r="U4" s="21" t="s">
        <v>9</v>
      </c>
      <c r="V4" s="21" t="s">
        <v>10</v>
      </c>
      <c r="W4" s="21" t="s">
        <v>11</v>
      </c>
      <c r="AB4" s="247"/>
      <c r="AC4" s="247" t="s">
        <v>205</v>
      </c>
      <c r="AD4" s="247" t="s">
        <v>222</v>
      </c>
      <c r="AE4" s="248">
        <f xml:space="preserve"> AE7 * 1.06 * ( AE2 - AE3)* (AE5^0.06 )</f>
        <v>295.98417086534886</v>
      </c>
      <c r="AF4" s="248">
        <f t="shared" ref="AF4:AH4" si="1" xml:space="preserve"> AF6 * 1.06 * ( AF2 - AF3)* (AF5^0.06 )</f>
        <v>307.47423402879275</v>
      </c>
      <c r="AG4" s="248">
        <f t="shared" si="1"/>
        <v>304.27607449269578</v>
      </c>
      <c r="AH4" s="248">
        <f t="shared" si="1"/>
        <v>246.50090952324061</v>
      </c>
    </row>
    <row r="5" spans="1:34" x14ac:dyDescent="0.2">
      <c r="A5" s="1" t="s">
        <v>184</v>
      </c>
      <c r="B5" s="165" t="s">
        <v>147</v>
      </c>
      <c r="C5" s="14"/>
      <c r="D5" s="1" t="s">
        <v>17</v>
      </c>
      <c r="E5" s="1"/>
      <c r="F5" s="264"/>
      <c r="G5" s="264"/>
      <c r="H5" s="262"/>
      <c r="I5" s="16"/>
      <c r="N5" s="17"/>
      <c r="O5" s="2"/>
      <c r="P5" s="159" t="s">
        <v>15</v>
      </c>
      <c r="Q5" s="92"/>
      <c r="R5" s="160"/>
      <c r="S5" s="94">
        <f>Q6*S6+Q7*S7+Q8*S8+Q9*S9</f>
        <v>676.5195423783548</v>
      </c>
      <c r="T5" s="92"/>
      <c r="U5" s="92"/>
      <c r="V5" s="92"/>
      <c r="W5" s="92"/>
      <c r="AB5" s="247"/>
      <c r="AC5" s="247" t="s">
        <v>206</v>
      </c>
      <c r="AD5" s="247" t="s">
        <v>223</v>
      </c>
      <c r="AE5" s="248">
        <f xml:space="preserve"> AE1  - AE12</f>
        <v>369.25884313069957</v>
      </c>
      <c r="AF5" s="248">
        <f t="shared" ref="AF5:AH5" si="2" xml:space="preserve"> AF1  - AF12</f>
        <v>317.32589142723674</v>
      </c>
      <c r="AG5" s="248">
        <f t="shared" si="2"/>
        <v>269.40811928979542</v>
      </c>
      <c r="AH5" s="248">
        <f t="shared" si="2"/>
        <v>290.22224701941843</v>
      </c>
    </row>
    <row r="6" spans="1:34" x14ac:dyDescent="0.2">
      <c r="G6" s="12"/>
      <c r="H6" s="12"/>
      <c r="I6" s="16"/>
      <c r="L6" s="35"/>
      <c r="N6" s="18"/>
      <c r="O6" s="2"/>
      <c r="P6" s="92" t="s">
        <v>19</v>
      </c>
      <c r="Q6" s="160">
        <f>$B$10</f>
        <v>9</v>
      </c>
      <c r="R6" s="161">
        <f>$B$11</f>
        <v>500</v>
      </c>
      <c r="S6" s="57">
        <f>(($R6^0.75)*0.475)*0.9</f>
        <v>45.202621512084121</v>
      </c>
      <c r="T6" s="57"/>
      <c r="U6" s="57"/>
      <c r="V6" s="58"/>
      <c r="W6" s="60"/>
      <c r="X6" s="2"/>
      <c r="Y6" s="2" t="s">
        <v>21</v>
      </c>
      <c r="Z6" s="2" t="s">
        <v>22</v>
      </c>
      <c r="AA6" s="2" t="s">
        <v>23</v>
      </c>
      <c r="AB6" s="247" t="s">
        <v>203</v>
      </c>
      <c r="AC6" s="247" t="s">
        <v>207</v>
      </c>
      <c r="AD6" s="247"/>
      <c r="AE6" s="247">
        <v>0.16159999999999999</v>
      </c>
      <c r="AF6" s="247">
        <v>0.16159999999999999</v>
      </c>
      <c r="AG6" s="247">
        <v>0.16159999999999999</v>
      </c>
      <c r="AH6" s="247">
        <v>0.16159999999999999</v>
      </c>
    </row>
    <row r="7" spans="1:34" x14ac:dyDescent="0.2">
      <c r="B7" s="95"/>
      <c r="C7" s="28"/>
      <c r="F7" s="12"/>
      <c r="G7" s="12"/>
      <c r="H7" s="12"/>
      <c r="I7" s="16"/>
      <c r="M7" s="18"/>
      <c r="N7" s="18"/>
      <c r="O7" s="18"/>
      <c r="P7" s="162" t="s">
        <v>20</v>
      </c>
      <c r="Q7" s="160">
        <f>$C$10</f>
        <v>5</v>
      </c>
      <c r="R7" s="160">
        <f>$C$11</f>
        <v>420</v>
      </c>
      <c r="S7" s="57">
        <f>(($R7^0.75)*0.475)*0.9</f>
        <v>39.661860881380484</v>
      </c>
      <c r="T7" s="57"/>
      <c r="U7" s="59"/>
      <c r="V7" s="58"/>
      <c r="W7" s="59"/>
      <c r="X7" s="2"/>
      <c r="Y7" s="140">
        <f>((0.522*AA7)/(6.28+0.0188*Z7))/(1+(((0.522*AA7)/(6.28+0.0188*Z7))*0.3))</f>
        <v>1.2007830113054905</v>
      </c>
      <c r="Z7" s="2">
        <v>200</v>
      </c>
      <c r="AA7" s="2">
        <v>36.1</v>
      </c>
      <c r="AB7" s="247" t="s">
        <v>203</v>
      </c>
      <c r="AC7" s="247" t="s">
        <v>208</v>
      </c>
      <c r="AD7" s="247"/>
      <c r="AE7" s="247">
        <v>0.15409999999999999</v>
      </c>
      <c r="AF7" s="247">
        <v>0.15409999999999999</v>
      </c>
      <c r="AG7" s="247">
        <v>0.15409999999999999</v>
      </c>
      <c r="AH7" s="247">
        <v>0.15409999999999999</v>
      </c>
    </row>
    <row r="8" spans="1:34" ht="18.75" x14ac:dyDescent="0.3">
      <c r="A8" s="90"/>
      <c r="B8" s="209"/>
      <c r="C8" s="265"/>
      <c r="D8" s="266"/>
      <c r="E8" s="265"/>
      <c r="F8" s="267"/>
      <c r="G8" s="12"/>
      <c r="I8" s="16"/>
      <c r="J8" s="52"/>
      <c r="K8" s="12"/>
      <c r="L8" s="36"/>
      <c r="M8" s="209"/>
      <c r="N8" s="12"/>
      <c r="O8" s="12"/>
      <c r="P8" s="92" t="s">
        <v>24</v>
      </c>
      <c r="Q8" s="59">
        <f>$D$10</f>
        <v>1</v>
      </c>
      <c r="R8" s="161">
        <f>$D$11</f>
        <v>350</v>
      </c>
      <c r="S8" s="57">
        <f>(($R8^0.75)*0.475)*0.9</f>
        <v>34.592914410111625</v>
      </c>
      <c r="T8" s="92"/>
      <c r="U8" s="59"/>
      <c r="V8" s="71"/>
      <c r="W8" s="93"/>
      <c r="X8" s="2"/>
      <c r="Y8" s="140">
        <f>((0.522*AA8)/(6.28+0.0188*Z8))/(1+(((0.522*AA8)/(6.28+0.0188*Z8))*0.3))</f>
        <v>1.2001242104969816</v>
      </c>
      <c r="Z8" s="2">
        <v>350</v>
      </c>
      <c r="AA8" s="1">
        <v>46.2</v>
      </c>
      <c r="AB8" s="247" t="s">
        <v>209</v>
      </c>
      <c r="AC8" s="247" t="s">
        <v>235</v>
      </c>
      <c r="AD8" s="247"/>
      <c r="AE8" s="247">
        <v>-0.39389999999999997</v>
      </c>
      <c r="AF8" s="247">
        <v>-0.39389999999999997</v>
      </c>
      <c r="AG8" s="247">
        <v>-0.39389999999999997</v>
      </c>
      <c r="AH8" s="247">
        <v>-0.39389999999999997</v>
      </c>
    </row>
    <row r="9" spans="1:34" ht="18.75" x14ac:dyDescent="0.3">
      <c r="A9" s="38"/>
      <c r="B9" s="99" t="s">
        <v>236</v>
      </c>
      <c r="C9" s="99" t="s">
        <v>237</v>
      </c>
      <c r="D9" s="99" t="s">
        <v>238</v>
      </c>
      <c r="E9" s="99" t="s">
        <v>239</v>
      </c>
      <c r="F9" s="99" t="s">
        <v>30</v>
      </c>
      <c r="H9" s="12"/>
      <c r="I9" s="16"/>
      <c r="J9" s="53"/>
      <c r="K9" s="12"/>
      <c r="L9" s="209"/>
      <c r="M9" s="209"/>
      <c r="N9" s="12"/>
      <c r="O9" s="12"/>
      <c r="P9" s="162" t="s">
        <v>25</v>
      </c>
      <c r="Q9" s="160">
        <f>$E$10</f>
        <v>1</v>
      </c>
      <c r="R9" s="163">
        <f>$E$11</f>
        <v>380</v>
      </c>
      <c r="S9" s="57">
        <f>(($R9^0.75)*0.475)*0.9</f>
        <v>36.793729952583689</v>
      </c>
      <c r="T9" s="57"/>
      <c r="U9" s="57"/>
      <c r="V9" s="58"/>
      <c r="W9" s="59"/>
      <c r="X9" s="2"/>
      <c r="Y9" s="140">
        <f>((0.522*AA9)/(6.28+0.0188*Z9))/(1+(((0.522*AA9)/(6.28+0.0188*Z9))*0.3))</f>
        <v>1.0002400475041375</v>
      </c>
      <c r="Z9" s="2">
        <v>550</v>
      </c>
      <c r="AA9" s="1">
        <v>45.5</v>
      </c>
      <c r="AB9" s="247" t="s">
        <v>209</v>
      </c>
      <c r="AC9" s="247" t="s">
        <v>211</v>
      </c>
      <c r="AD9" s="247"/>
      <c r="AE9" s="247">
        <v>-0.27794999999999997</v>
      </c>
      <c r="AF9" s="247">
        <v>-0.27794999999999997</v>
      </c>
      <c r="AG9" s="247">
        <v>-0.27794999999999997</v>
      </c>
      <c r="AH9" s="247">
        <v>-0.27794999999999997</v>
      </c>
    </row>
    <row r="10" spans="1:34" ht="15.75" x14ac:dyDescent="0.25">
      <c r="A10" s="98" t="s">
        <v>5</v>
      </c>
      <c r="B10" s="76">
        <v>9</v>
      </c>
      <c r="C10" s="76">
        <v>5</v>
      </c>
      <c r="D10" s="76">
        <v>1</v>
      </c>
      <c r="E10" s="76">
        <v>1</v>
      </c>
      <c r="F10" s="99">
        <f>SUM(B10:E10)</f>
        <v>16</v>
      </c>
      <c r="H10" s="83"/>
      <c r="O10" s="12"/>
      <c r="P10" s="159" t="s">
        <v>31</v>
      </c>
      <c r="Q10" s="160"/>
      <c r="R10" s="160"/>
      <c r="S10" s="94">
        <f>$Q$11*S11+$Q$12*S12+$Q$13*S13+$Q$14*S14</f>
        <v>1100.7319749216301</v>
      </c>
      <c r="T10" s="94">
        <f>$Q$11*T11+$Q$12*T12+$Q$13*T13+$Q$14*T14</f>
        <v>18794.676422465454</v>
      </c>
      <c r="U10" s="94">
        <f>$Q$11*U11+$Q$12*U12+$Q$13*U13+$Q$14*U14</f>
        <v>11552.134862449901</v>
      </c>
      <c r="V10" s="94">
        <f>$Q$11*V11+$Q$12*V12+$Q$13*V13+$Q$14*V14</f>
        <v>833</v>
      </c>
      <c r="W10" s="94">
        <f>$Q$11*W11+$Q$12*W12+$Q$13*W13+$Q$14*W14</f>
        <v>543</v>
      </c>
      <c r="X10" s="2"/>
      <c r="Y10" s="2"/>
      <c r="Z10" s="2"/>
      <c r="AB10" s="247" t="s">
        <v>209</v>
      </c>
      <c r="AC10" s="247" t="s">
        <v>219</v>
      </c>
      <c r="AD10" s="247"/>
      <c r="AE10" s="247">
        <v>1.046</v>
      </c>
      <c r="AF10" s="247">
        <v>1.046</v>
      </c>
      <c r="AG10" s="247">
        <v>1.046</v>
      </c>
      <c r="AH10" s="247">
        <v>1.046</v>
      </c>
    </row>
    <row r="11" spans="1:34" ht="15.75" x14ac:dyDescent="0.25">
      <c r="A11" s="98" t="s">
        <v>32</v>
      </c>
      <c r="B11" s="76">
        <v>500</v>
      </c>
      <c r="C11" s="76">
        <v>420</v>
      </c>
      <c r="D11" s="76">
        <v>350</v>
      </c>
      <c r="E11" s="76">
        <v>380</v>
      </c>
      <c r="F11" s="100">
        <f>(B10*B11+C11*C10+D11*D10+E10*E11)/(B10+C10+D10+E10)</f>
        <v>458.125</v>
      </c>
      <c r="H11" s="12"/>
      <c r="O11" s="12"/>
      <c r="P11" s="92" t="s">
        <v>19</v>
      </c>
      <c r="Q11" s="160">
        <f>$B$10</f>
        <v>9</v>
      </c>
      <c r="R11" s="161">
        <f>$B$11</f>
        <v>500</v>
      </c>
      <c r="S11" s="58">
        <f>((B12*(6.28+0.0188*R11))/((1-0.3*B12)*0.522))*0.9</f>
        <v>73.730407523510976</v>
      </c>
      <c r="T11" s="57">
        <f>LOOKUP($R11,$S$39:$S$62,$T$39:$T$62)*(S11+S6)</f>
        <v>1236.9035019701892</v>
      </c>
      <c r="U11" s="57">
        <f>LOOKUP($R11,$S$39:$S$62,$U$39:$U$62)*(S11+S6)</f>
        <v>773.06468873136816</v>
      </c>
      <c r="V11" s="57">
        <f t="shared" ref="V11:W14" si="3">LOOKUP($R11,$W$40:$W$46,X$40:X$46)</f>
        <v>54</v>
      </c>
      <c r="W11" s="57">
        <f t="shared" si="3"/>
        <v>37</v>
      </c>
      <c r="X11" s="2"/>
      <c r="Y11" s="2"/>
      <c r="Z11" s="2"/>
      <c r="AB11" s="247" t="s">
        <v>209</v>
      </c>
      <c r="AC11" s="247" t="s">
        <v>213</v>
      </c>
      <c r="AD11" s="247"/>
      <c r="AE11" s="247">
        <v>1.0229999999999999</v>
      </c>
      <c r="AF11" s="247">
        <v>1.0229999999999999</v>
      </c>
      <c r="AG11" s="247">
        <v>1.0229999999999999</v>
      </c>
      <c r="AH11" s="247">
        <v>1.0229999999999999</v>
      </c>
    </row>
    <row r="12" spans="1:34" ht="15.75" x14ac:dyDescent="0.25">
      <c r="A12" s="101" t="s">
        <v>33</v>
      </c>
      <c r="B12" s="76">
        <v>1.5</v>
      </c>
      <c r="C12" s="102">
        <v>1.5</v>
      </c>
      <c r="D12" s="102">
        <v>1.5</v>
      </c>
      <c r="E12" s="76">
        <v>1.2</v>
      </c>
      <c r="G12" s="103"/>
      <c r="H12" s="54"/>
      <c r="I12" s="55"/>
      <c r="J12" s="15"/>
      <c r="K12" s="12"/>
      <c r="L12" s="209"/>
      <c r="M12" s="15"/>
      <c r="N12" s="15"/>
      <c r="O12" s="12"/>
      <c r="P12" s="162" t="s">
        <v>20</v>
      </c>
      <c r="Q12" s="160">
        <f>$C$10</f>
        <v>5</v>
      </c>
      <c r="R12" s="160">
        <f>$C$11</f>
        <v>420</v>
      </c>
      <c r="S12" s="58">
        <f>((C12*(6.28+0.0188*R12))/((1-0.3*C12)*0.522))*0.9</f>
        <v>66.658307210031339</v>
      </c>
      <c r="T12" s="57">
        <f>LOOKUP($R12,$S$39:$S$62,$T$39:$T$62)*(S12+S7)</f>
        <v>1148.2578153872478</v>
      </c>
      <c r="U12" s="57">
        <f>LOOKUP($R12,$S$39:$S$62,$U$39:$U$62)*(S12+S7)</f>
        <v>691.08109259417688</v>
      </c>
      <c r="V12" s="57">
        <f t="shared" si="3"/>
        <v>51</v>
      </c>
      <c r="W12" s="57">
        <f t="shared" si="3"/>
        <v>32</v>
      </c>
      <c r="X12" s="2"/>
      <c r="Y12" s="2"/>
      <c r="Z12" s="2"/>
      <c r="AB12" s="247"/>
      <c r="AC12" s="247" t="s">
        <v>214</v>
      </c>
      <c r="AD12" s="247"/>
      <c r="AE12" s="248">
        <f>EXP(AE14+AE16*(LN(AE1))+AE17*(LN(AE1)^2))</f>
        <v>67.592990744023894</v>
      </c>
      <c r="AF12" s="248">
        <f t="shared" ref="AF12:AH12" si="4">EXP(AF14+AF16*(LN(AF1))+AF17*(LN(AF1)^2))</f>
        <v>48.161056964162228</v>
      </c>
      <c r="AG12" s="248">
        <f t="shared" si="4"/>
        <v>33.889818987553603</v>
      </c>
      <c r="AH12" s="248">
        <f t="shared" si="4"/>
        <v>39.696100317918564</v>
      </c>
    </row>
    <row r="13" spans="1:34" ht="15.75" x14ac:dyDescent="0.25">
      <c r="A13" s="104" t="s">
        <v>35</v>
      </c>
      <c r="B13" s="76">
        <v>650</v>
      </c>
      <c r="C13" s="174">
        <v>640</v>
      </c>
      <c r="D13" s="174">
        <v>650</v>
      </c>
      <c r="E13" s="76">
        <v>600</v>
      </c>
      <c r="I13" s="84"/>
      <c r="J13" s="50"/>
      <c r="K13" s="50"/>
      <c r="L13" s="50"/>
      <c r="M13" s="50"/>
      <c r="N13" s="18"/>
      <c r="O13" s="19"/>
      <c r="P13" s="162" t="s">
        <v>34</v>
      </c>
      <c r="Q13" s="59">
        <f>$D$10</f>
        <v>1</v>
      </c>
      <c r="R13" s="161">
        <f>$D$11</f>
        <v>350</v>
      </c>
      <c r="S13" s="58">
        <f>((D12*(6.28+0.0188*R13))/((1-0.3*D12)*0.522))*0.9</f>
        <v>60.470219435736674</v>
      </c>
      <c r="T13" s="57">
        <f>LOOKUP($R13,$S$39:$S$62,$T$39:$T$62)*(S13+S8)</f>
        <v>1055.2007856889161</v>
      </c>
      <c r="U13" s="57">
        <f>LOOKUP($R13,$S$39:$S$62,$U$39:$U$62)*(S13+S8)</f>
        <v>617.91036999801395</v>
      </c>
      <c r="V13" s="57">
        <f t="shared" si="3"/>
        <v>46</v>
      </c>
      <c r="W13" s="57">
        <f t="shared" si="3"/>
        <v>25</v>
      </c>
      <c r="X13" s="2"/>
      <c r="Y13" s="2"/>
      <c r="Z13" s="2"/>
      <c r="AB13" s="247" t="s">
        <v>218</v>
      </c>
      <c r="AC13" s="247" t="s">
        <v>219</v>
      </c>
      <c r="AD13" s="247"/>
      <c r="AE13" s="247">
        <v>-6.3109999999999999</v>
      </c>
      <c r="AF13" s="247">
        <v>-6.3109999999999999</v>
      </c>
      <c r="AG13" s="247">
        <v>-6.3109999999999999</v>
      </c>
      <c r="AH13" s="247">
        <v>-6.3109999999999999</v>
      </c>
    </row>
    <row r="14" spans="1:34" ht="15.75" x14ac:dyDescent="0.25">
      <c r="A14" s="212" t="s">
        <v>36</v>
      </c>
      <c r="B14" s="51">
        <f>(B13-B11)/B12</f>
        <v>100</v>
      </c>
      <c r="C14" s="51">
        <f>(C13-C11)/C12</f>
        <v>146.66666666666666</v>
      </c>
      <c r="D14" s="51">
        <f>(D13-D11)/D12</f>
        <v>200</v>
      </c>
      <c r="E14" s="51">
        <f>(E13-E11)/E12</f>
        <v>183.33333333333334</v>
      </c>
      <c r="I14" s="88"/>
      <c r="J14" s="86"/>
      <c r="K14" s="86"/>
      <c r="L14" s="89"/>
      <c r="M14" s="89"/>
      <c r="N14" s="87"/>
      <c r="O14" s="19"/>
      <c r="P14" s="162" t="s">
        <v>25</v>
      </c>
      <c r="Q14" s="160">
        <f>$E$10</f>
        <v>1</v>
      </c>
      <c r="R14" s="163">
        <f>$E$11</f>
        <v>380</v>
      </c>
      <c r="S14" s="58">
        <f>((E12*(6.28+0.0188*R14))/((1-0.3*E12)*0.522))*0.9</f>
        <v>43.396551724137922</v>
      </c>
      <c r="T14" s="57">
        <f>LOOKUP($R14,$S$39:$S$62,$T$39:$T$62)*(S14+S9)</f>
        <v>866.05504210859351</v>
      </c>
      <c r="U14" s="57">
        <f>LOOKUP($R14,$S$39:$S$62,$U$39:$U$62)*(S14+S9)</f>
        <v>521.23683089869041</v>
      </c>
      <c r="V14" s="57">
        <f t="shared" si="3"/>
        <v>46</v>
      </c>
      <c r="W14" s="57">
        <f t="shared" si="3"/>
        <v>25</v>
      </c>
      <c r="X14" s="2"/>
      <c r="Y14" s="2"/>
      <c r="Z14" s="2"/>
      <c r="AB14" s="247" t="s">
        <v>218</v>
      </c>
      <c r="AC14" s="247" t="s">
        <v>220</v>
      </c>
      <c r="AD14" s="247"/>
      <c r="AE14" s="247">
        <v>-5.7541000000000002</v>
      </c>
      <c r="AF14" s="247">
        <v>-5.7541000000000002</v>
      </c>
      <c r="AG14" s="247">
        <v>-5.7541000000000002</v>
      </c>
      <c r="AH14" s="247">
        <v>-5.7541000000000002</v>
      </c>
    </row>
    <row r="15" spans="1:34" ht="15.75" x14ac:dyDescent="0.25">
      <c r="A15" s="104" t="s">
        <v>38</v>
      </c>
      <c r="B15" s="214">
        <f>$F$4+B14</f>
        <v>40247</v>
      </c>
      <c r="C15" s="214">
        <f>$F$4+C14</f>
        <v>40293.666666666664</v>
      </c>
      <c r="D15" s="214">
        <f>$F$4+D14</f>
        <v>40347</v>
      </c>
      <c r="E15" s="214">
        <f>$F$4+E14</f>
        <v>40330.333333333336</v>
      </c>
      <c r="H15" s="54"/>
      <c r="I15" s="15"/>
      <c r="J15" s="15"/>
      <c r="K15" s="15"/>
      <c r="L15" s="15"/>
      <c r="M15" s="15"/>
      <c r="N15" s="15"/>
      <c r="O15" s="19"/>
      <c r="P15" s="159" t="s">
        <v>37</v>
      </c>
      <c r="Q15" s="160"/>
      <c r="R15" s="160"/>
      <c r="S15" s="61">
        <f t="shared" ref="S15:U19" si="5">S5+S10</f>
        <v>1777.2515172999849</v>
      </c>
      <c r="T15" s="61">
        <f t="shared" si="5"/>
        <v>18794.676422465454</v>
      </c>
      <c r="U15" s="61">
        <f t="shared" si="5"/>
        <v>11552.134862449901</v>
      </c>
      <c r="V15" s="61">
        <f>V14+V12+V10+V7+V8</f>
        <v>930</v>
      </c>
      <c r="W15" s="62">
        <f>W14+W10</f>
        <v>568</v>
      </c>
      <c r="X15" s="2"/>
      <c r="Y15" s="2"/>
      <c r="Z15" s="2"/>
      <c r="AB15" s="247" t="s">
        <v>218</v>
      </c>
      <c r="AC15" s="247" t="s">
        <v>215</v>
      </c>
      <c r="AD15" s="247"/>
      <c r="AE15" s="247">
        <v>1.8109999999999999</v>
      </c>
      <c r="AF15" s="247">
        <v>1.8109999999999999</v>
      </c>
      <c r="AG15" s="247">
        <v>1.8109999999999999</v>
      </c>
      <c r="AH15" s="247">
        <v>1.8109999999999999</v>
      </c>
    </row>
    <row r="16" spans="1:34" ht="15.75" x14ac:dyDescent="0.25">
      <c r="A16" s="105"/>
      <c r="B16" s="106"/>
      <c r="C16" s="106"/>
      <c r="D16" s="106"/>
      <c r="E16" s="106"/>
      <c r="H16" s="19"/>
      <c r="O16" s="19"/>
      <c r="P16" s="92" t="s">
        <v>19</v>
      </c>
      <c r="Q16" s="160">
        <f>$B$10</f>
        <v>9</v>
      </c>
      <c r="R16" s="161">
        <f>$B$11</f>
        <v>500</v>
      </c>
      <c r="S16" s="57">
        <f t="shared" si="5"/>
        <v>118.9330290355951</v>
      </c>
      <c r="T16" s="57">
        <f t="shared" si="5"/>
        <v>1236.9035019701892</v>
      </c>
      <c r="U16" s="57">
        <f t="shared" si="5"/>
        <v>773.06468873136816</v>
      </c>
      <c r="V16" s="57">
        <f t="shared" ref="V16:W19" si="6">V6+V11</f>
        <v>54</v>
      </c>
      <c r="W16" s="57">
        <f t="shared" si="6"/>
        <v>37</v>
      </c>
      <c r="X16" s="2"/>
      <c r="Y16" s="2"/>
      <c r="Z16" s="2"/>
      <c r="AB16" s="247" t="s">
        <v>218</v>
      </c>
      <c r="AC16" s="247" t="s">
        <v>216</v>
      </c>
      <c r="AD16" s="247"/>
      <c r="AE16" s="247">
        <v>1.3708</v>
      </c>
      <c r="AF16" s="247">
        <v>1.3708</v>
      </c>
      <c r="AG16" s="247">
        <v>1.3708</v>
      </c>
      <c r="AH16" s="247">
        <v>1.3708</v>
      </c>
    </row>
    <row r="17" spans="1:65" x14ac:dyDescent="0.2">
      <c r="A17" s="85"/>
      <c r="B17" s="86"/>
      <c r="C17" s="86"/>
      <c r="D17" s="86"/>
      <c r="E17" s="86"/>
      <c r="G17" s="2"/>
      <c r="H17" s="19"/>
      <c r="O17" s="19"/>
      <c r="P17" s="162" t="s">
        <v>20</v>
      </c>
      <c r="Q17" s="160">
        <f>$C$10</f>
        <v>5</v>
      </c>
      <c r="R17" s="160">
        <f>$C$11</f>
        <v>420</v>
      </c>
      <c r="S17" s="57">
        <f t="shared" si="5"/>
        <v>106.32016809141183</v>
      </c>
      <c r="T17" s="57">
        <f t="shared" si="5"/>
        <v>1148.2578153872478</v>
      </c>
      <c r="U17" s="57">
        <f t="shared" si="5"/>
        <v>691.08109259417688</v>
      </c>
      <c r="V17" s="57">
        <f t="shared" si="6"/>
        <v>51</v>
      </c>
      <c r="W17" s="57">
        <f t="shared" si="6"/>
        <v>32</v>
      </c>
      <c r="X17" s="2"/>
      <c r="Y17" s="2"/>
      <c r="Z17" s="2"/>
      <c r="AB17" s="247" t="s">
        <v>218</v>
      </c>
      <c r="AC17" s="247" t="s">
        <v>217</v>
      </c>
      <c r="AD17" s="247" t="s">
        <v>226</v>
      </c>
      <c r="AE17" s="247">
        <v>4.4200000000000003E-2</v>
      </c>
      <c r="AF17" s="247">
        <v>4.4200000000000003E-2</v>
      </c>
      <c r="AG17" s="247">
        <v>4.4200000000000003E-2</v>
      </c>
      <c r="AH17" s="247">
        <v>4.4200000000000003E-2</v>
      </c>
    </row>
    <row r="18" spans="1:65" x14ac:dyDescent="0.2">
      <c r="A18" s="85"/>
      <c r="B18" s="86"/>
      <c r="C18" s="86"/>
      <c r="D18" s="86"/>
      <c r="E18" s="86"/>
      <c r="G18" s="2"/>
      <c r="H18" s="19"/>
      <c r="O18" s="19"/>
      <c r="P18" s="162" t="s">
        <v>34</v>
      </c>
      <c r="Q18" s="59">
        <f>$D$10</f>
        <v>1</v>
      </c>
      <c r="R18" s="161">
        <f>$D$11</f>
        <v>350</v>
      </c>
      <c r="S18" s="57">
        <f t="shared" si="5"/>
        <v>95.063133845848299</v>
      </c>
      <c r="T18" s="57">
        <f t="shared" si="5"/>
        <v>1055.2007856889161</v>
      </c>
      <c r="U18" s="57">
        <f t="shared" si="5"/>
        <v>617.91036999801395</v>
      </c>
      <c r="V18" s="57">
        <f t="shared" si="6"/>
        <v>46</v>
      </c>
      <c r="W18" s="57">
        <f t="shared" si="6"/>
        <v>25</v>
      </c>
      <c r="X18" s="2"/>
      <c r="Y18" s="2"/>
      <c r="Z18" s="2"/>
      <c r="AB18" s="247" t="s">
        <v>218</v>
      </c>
      <c r="AC18" s="247" t="s">
        <v>221</v>
      </c>
      <c r="AD18" s="247" t="s">
        <v>224</v>
      </c>
      <c r="AE18" s="247">
        <v>1</v>
      </c>
      <c r="AF18" s="247">
        <v>1</v>
      </c>
      <c r="AG18" s="247">
        <v>1</v>
      </c>
      <c r="AH18" s="247">
        <v>1</v>
      </c>
    </row>
    <row r="19" spans="1:65" ht="18" x14ac:dyDescent="0.25">
      <c r="G19" s="2"/>
      <c r="H19" s="19"/>
      <c r="I19" s="20"/>
      <c r="J19" s="37"/>
      <c r="K19" s="19"/>
      <c r="L19" s="19"/>
      <c r="M19" s="19"/>
      <c r="N19" s="19"/>
      <c r="O19" s="19"/>
      <c r="P19" s="162" t="s">
        <v>25</v>
      </c>
      <c r="Q19" s="160">
        <f>$E$10</f>
        <v>1</v>
      </c>
      <c r="R19" s="163">
        <f>$E$11</f>
        <v>380</v>
      </c>
      <c r="S19" s="57">
        <f t="shared" si="5"/>
        <v>80.190281676721611</v>
      </c>
      <c r="T19" s="57">
        <f t="shared" si="5"/>
        <v>866.05504210859351</v>
      </c>
      <c r="U19" s="57">
        <f t="shared" si="5"/>
        <v>521.23683089869041</v>
      </c>
      <c r="V19" s="57">
        <f t="shared" si="6"/>
        <v>46</v>
      </c>
      <c r="W19" s="57">
        <f t="shared" si="6"/>
        <v>25</v>
      </c>
      <c r="X19" s="2"/>
      <c r="Y19" s="2"/>
      <c r="Z19" s="2"/>
      <c r="AB19" s="246" t="s">
        <v>228</v>
      </c>
      <c r="AC19" s="247" t="s">
        <v>81</v>
      </c>
      <c r="AD19" s="247" t="s">
        <v>227</v>
      </c>
      <c r="AE19" s="249">
        <f>AE4*0.039</f>
        <v>11.543382663748606</v>
      </c>
      <c r="AF19" s="249">
        <f t="shared" ref="AF19:AH19" si="7">AF4*0.039</f>
        <v>11.991495127122917</v>
      </c>
      <c r="AG19" s="249">
        <f t="shared" si="7"/>
        <v>11.866766905215135</v>
      </c>
      <c r="AH19" s="249">
        <f t="shared" si="7"/>
        <v>9.613535471406383</v>
      </c>
    </row>
    <row r="20" spans="1:65" ht="15.75" x14ac:dyDescent="0.25">
      <c r="B20" s="270" t="s">
        <v>130</v>
      </c>
      <c r="C20" s="270"/>
      <c r="D20" s="270"/>
      <c r="E20" s="270"/>
      <c r="F20" s="2"/>
      <c r="G20" s="269" t="s">
        <v>40</v>
      </c>
      <c r="H20" s="269"/>
      <c r="I20" s="269"/>
      <c r="J20" s="269"/>
      <c r="K20" s="269"/>
      <c r="L20" s="269"/>
      <c r="M20" s="269"/>
      <c r="N20" s="19"/>
      <c r="O20" s="19"/>
      <c r="P20" s="19"/>
      <c r="Q20" s="19"/>
      <c r="R20" s="19"/>
      <c r="S20" s="19"/>
      <c r="T20" s="11"/>
      <c r="U20" s="11"/>
      <c r="V20" s="11"/>
      <c r="W20" s="11"/>
      <c r="X20" s="91" t="s">
        <v>41</v>
      </c>
      <c r="Y20" s="211"/>
      <c r="Z20" s="19"/>
      <c r="AA20" s="19"/>
      <c r="AB20" s="2"/>
      <c r="AC20" s="2"/>
      <c r="AD20" s="2"/>
      <c r="AE20" s="2"/>
      <c r="AF20" s="2"/>
      <c r="AG20" s="2"/>
      <c r="AH20" s="2"/>
      <c r="AI20" s="2"/>
      <c r="AJ20" s="2"/>
      <c r="AL20" s="4"/>
      <c r="AM20" s="4"/>
      <c r="AN20" s="4"/>
    </row>
    <row r="21" spans="1:65" s="4" customFormat="1" ht="15.75" x14ac:dyDescent="0.25">
      <c r="A21" s="229" t="s">
        <v>42</v>
      </c>
      <c r="B21" s="11" t="s">
        <v>192</v>
      </c>
      <c r="C21" s="11" t="s">
        <v>193</v>
      </c>
      <c r="D21" s="11" t="s">
        <v>194</v>
      </c>
      <c r="E21" s="11" t="s">
        <v>195</v>
      </c>
      <c r="F21" s="237" t="s">
        <v>43</v>
      </c>
      <c r="G21" s="237" t="s">
        <v>44</v>
      </c>
      <c r="H21" s="241" t="s">
        <v>185</v>
      </c>
      <c r="I21" s="237" t="s">
        <v>46</v>
      </c>
      <c r="J21" s="237" t="s">
        <v>47</v>
      </c>
      <c r="K21" s="237" t="s">
        <v>48</v>
      </c>
      <c r="L21" s="237" t="s">
        <v>49</v>
      </c>
      <c r="M21" s="237" t="s">
        <v>50</v>
      </c>
      <c r="N21" s="237" t="s">
        <v>51</v>
      </c>
      <c r="O21" s="238" t="s">
        <v>52</v>
      </c>
      <c r="P21" s="263" t="s">
        <v>54</v>
      </c>
      <c r="Q21" s="263"/>
      <c r="R21" s="263"/>
      <c r="S21" s="263"/>
      <c r="T21" s="258" t="s">
        <v>55</v>
      </c>
      <c r="U21" s="259"/>
      <c r="V21" s="259"/>
      <c r="W21" s="260"/>
      <c r="X21" s="258" t="s">
        <v>7</v>
      </c>
      <c r="Y21" s="259"/>
      <c r="Z21" s="259"/>
      <c r="AA21" s="260"/>
      <c r="AB21" s="258" t="s">
        <v>46</v>
      </c>
      <c r="AC21" s="259"/>
      <c r="AD21" s="259"/>
      <c r="AE21" s="260"/>
      <c r="AF21" s="258" t="s">
        <v>47</v>
      </c>
      <c r="AG21" s="259"/>
      <c r="AH21" s="259"/>
      <c r="AI21" s="259"/>
      <c r="AJ21" s="258" t="s">
        <v>48</v>
      </c>
      <c r="AK21" s="259"/>
      <c r="AL21" s="259"/>
      <c r="AM21" s="259"/>
      <c r="AN21" s="258" t="s">
        <v>49</v>
      </c>
      <c r="AO21" s="259"/>
      <c r="AP21" s="259"/>
      <c r="AQ21" s="259"/>
      <c r="AR21" s="258" t="s">
        <v>50</v>
      </c>
      <c r="AS21" s="259"/>
      <c r="AT21" s="259"/>
      <c r="AU21" s="259"/>
      <c r="AV21" s="73" t="s">
        <v>56</v>
      </c>
      <c r="AW21" s="73"/>
      <c r="AX21" s="73"/>
      <c r="AY21" s="73"/>
      <c r="AZ21" s="75" t="s">
        <v>57</v>
      </c>
      <c r="BA21" s="75"/>
      <c r="BB21" s="75"/>
      <c r="BC21" s="75"/>
      <c r="BD21" s="2" t="s">
        <v>53</v>
      </c>
      <c r="BE21" s="2"/>
      <c r="BF21" s="2"/>
      <c r="BG21" s="2"/>
      <c r="BH21" s="1"/>
      <c r="BL21" s="1"/>
      <c r="BM21" s="1"/>
    </row>
    <row r="22" spans="1:65" x14ac:dyDescent="0.2">
      <c r="A22" s="190" t="s">
        <v>134</v>
      </c>
      <c r="B22" s="189"/>
      <c r="C22" s="189"/>
      <c r="D22" s="189"/>
      <c r="E22" s="189"/>
      <c r="F22" s="198">
        <v>1</v>
      </c>
      <c r="G22" s="193">
        <v>1</v>
      </c>
      <c r="H22" s="194">
        <v>11</v>
      </c>
      <c r="I22" s="195">
        <v>71</v>
      </c>
      <c r="J22" s="195">
        <v>166</v>
      </c>
      <c r="K22" s="194">
        <v>526</v>
      </c>
      <c r="L22" s="194">
        <v>6.2</v>
      </c>
      <c r="M22" s="196">
        <v>2.7</v>
      </c>
      <c r="N22" s="206">
        <v>120</v>
      </c>
      <c r="O22" s="199">
        <v>0</v>
      </c>
      <c r="P22" s="41">
        <f t="shared" ref="P22:P32" si="8">B22*$F22</f>
        <v>0</v>
      </c>
      <c r="Q22" s="41">
        <f t="shared" ref="Q22:Q32" si="9">C22*$F22</f>
        <v>0</v>
      </c>
      <c r="R22" s="41">
        <f t="shared" ref="R22:R32" si="10">D22*$F22</f>
        <v>0</v>
      </c>
      <c r="S22" s="41">
        <f t="shared" ref="S22:S32" si="11">E22*$F22</f>
        <v>0</v>
      </c>
      <c r="T22" s="41">
        <f t="shared" ref="T22:T32" si="12">P22*$G22</f>
        <v>0</v>
      </c>
      <c r="U22" s="41">
        <f t="shared" ref="U22:U32" si="13">Q22*$G22</f>
        <v>0</v>
      </c>
      <c r="V22" s="41">
        <f t="shared" ref="V22:V32" si="14">R22*$G22</f>
        <v>0</v>
      </c>
      <c r="W22" s="41">
        <f t="shared" ref="W22:W32" si="15">S22*$G22</f>
        <v>0</v>
      </c>
      <c r="X22" s="41">
        <f t="shared" ref="X22:X32" si="16">$H22*P22</f>
        <v>0</v>
      </c>
      <c r="Y22" s="41">
        <f t="shared" ref="Y22:Y32" si="17">$H22*Q22</f>
        <v>0</v>
      </c>
      <c r="Z22" s="41">
        <f t="shared" ref="Z22:Z32" si="18">$H22*R22</f>
        <v>0</v>
      </c>
      <c r="AA22" s="41">
        <f t="shared" ref="AA22:AA32" si="19">$H22*S22</f>
        <v>0</v>
      </c>
      <c r="AB22" s="41">
        <f t="shared" ref="AB22:AB32" si="20">P22*$I22</f>
        <v>0</v>
      </c>
      <c r="AC22" s="41">
        <f t="shared" ref="AC22:AC32" si="21">Q22*$I22</f>
        <v>0</v>
      </c>
      <c r="AD22" s="41">
        <f t="shared" ref="AD22:AD32" si="22">R22*$I22</f>
        <v>0</v>
      </c>
      <c r="AE22" s="41">
        <f t="shared" ref="AE22:AE32" si="23">S22*$I22</f>
        <v>0</v>
      </c>
      <c r="AF22" s="41">
        <f t="shared" ref="AF22:AF32" si="24">P22*$J22</f>
        <v>0</v>
      </c>
      <c r="AG22" s="41">
        <f t="shared" ref="AG22:AG32" si="25">Q22*$J22</f>
        <v>0</v>
      </c>
      <c r="AH22" s="41">
        <f t="shared" ref="AH22:AH32" si="26">R22*$J22</f>
        <v>0</v>
      </c>
      <c r="AI22" s="41">
        <f t="shared" ref="AI22:AI32" si="27">S22*$J22</f>
        <v>0</v>
      </c>
      <c r="AJ22" s="41">
        <f t="shared" ref="AJ22:AJ32" si="28">P22*$K22</f>
        <v>0</v>
      </c>
      <c r="AK22" s="41">
        <f t="shared" ref="AK22:AK32" si="29">Q22*$K22</f>
        <v>0</v>
      </c>
      <c r="AL22" s="41">
        <f t="shared" ref="AL22:AL32" si="30">R22*$K22</f>
        <v>0</v>
      </c>
      <c r="AM22" s="41">
        <f t="shared" ref="AM22:AM32" si="31">S22*$K22</f>
        <v>0</v>
      </c>
      <c r="AN22" s="41">
        <f t="shared" ref="AN22:AN32" si="32">P22*$L22</f>
        <v>0</v>
      </c>
      <c r="AO22" s="41">
        <f t="shared" ref="AO22:AO32" si="33">Q22*$L22</f>
        <v>0</v>
      </c>
      <c r="AP22" s="41">
        <f t="shared" ref="AP22:AP32" si="34">R22*$L22</f>
        <v>0</v>
      </c>
      <c r="AQ22" s="41">
        <f t="shared" ref="AQ22:AQ32" si="35">S22*$L22</f>
        <v>0</v>
      </c>
      <c r="AR22" s="41">
        <f t="shared" ref="AR22:AR32" si="36">P22*$M22</f>
        <v>0</v>
      </c>
      <c r="AS22" s="41">
        <f t="shared" ref="AS22:AS32" si="37">Q22*$M22</f>
        <v>0</v>
      </c>
      <c r="AT22" s="41">
        <f t="shared" ref="AT22:AT32" si="38">R22*$M22</f>
        <v>0</v>
      </c>
      <c r="AU22" s="41">
        <f t="shared" ref="AU22:AU32" si="39">S22*$M22</f>
        <v>0</v>
      </c>
      <c r="AV22" s="43">
        <f t="shared" ref="AV22:AV32" si="40">$N22*B22/100</f>
        <v>0</v>
      </c>
      <c r="AW22" s="43">
        <f t="shared" ref="AW22:AW32" si="41">$N22*C22/100</f>
        <v>0</v>
      </c>
      <c r="AX22" s="43">
        <f t="shared" ref="AX22:AX32" si="42">$N22*D22/100</f>
        <v>0</v>
      </c>
      <c r="AY22" s="43">
        <f t="shared" ref="AY22:AY32" si="43">$N22*E22/100</f>
        <v>0</v>
      </c>
      <c r="AZ22" s="43">
        <f t="shared" ref="AZ22:AZ32" si="44">$O22*AF22</f>
        <v>0</v>
      </c>
      <c r="BA22" s="43">
        <f t="shared" ref="BA22:BA32" si="45">$O22*AG22</f>
        <v>0</v>
      </c>
      <c r="BB22" s="43">
        <f t="shared" ref="BB22:BB32" si="46">$O22*AH22</f>
        <v>0</v>
      </c>
      <c r="BC22" s="43">
        <f t="shared" ref="BC22:BC32" si="47">$O22*AI22</f>
        <v>0</v>
      </c>
      <c r="BD22" s="42" t="e">
        <f>#REF!*P22</f>
        <v>#REF!</v>
      </c>
      <c r="BE22" s="42" t="e">
        <f>#REF!*Q22</f>
        <v>#REF!</v>
      </c>
      <c r="BF22" s="42" t="e">
        <f>#REF!*R22</f>
        <v>#REF!</v>
      </c>
      <c r="BG22" s="42" t="e">
        <f>#REF!*S22</f>
        <v>#REF!</v>
      </c>
      <c r="BI22" s="4"/>
      <c r="BJ22" s="4"/>
      <c r="BK22" s="4"/>
    </row>
    <row r="23" spans="1:65" s="4" customFormat="1" x14ac:dyDescent="0.2">
      <c r="A23" s="190" t="s">
        <v>135</v>
      </c>
      <c r="B23" s="189"/>
      <c r="C23" s="189"/>
      <c r="D23" s="189"/>
      <c r="E23" s="189"/>
      <c r="F23" s="192">
        <v>0.85</v>
      </c>
      <c r="G23" s="193">
        <v>1</v>
      </c>
      <c r="H23" s="194">
        <v>6.6</v>
      </c>
      <c r="I23" s="195">
        <v>45</v>
      </c>
      <c r="J23" s="195">
        <v>69</v>
      </c>
      <c r="K23" s="194">
        <v>748</v>
      </c>
      <c r="L23" s="194">
        <v>7.5</v>
      </c>
      <c r="M23" s="196">
        <v>2.2999999999999998</v>
      </c>
      <c r="N23" s="207">
        <v>90</v>
      </c>
      <c r="O23" s="197">
        <v>0</v>
      </c>
      <c r="P23" s="41">
        <f t="shared" si="8"/>
        <v>0</v>
      </c>
      <c r="Q23" s="41">
        <f t="shared" si="9"/>
        <v>0</v>
      </c>
      <c r="R23" s="41">
        <f t="shared" si="10"/>
        <v>0</v>
      </c>
      <c r="S23" s="41">
        <f t="shared" si="11"/>
        <v>0</v>
      </c>
      <c r="T23" s="41">
        <f t="shared" si="12"/>
        <v>0</v>
      </c>
      <c r="U23" s="41">
        <f t="shared" si="13"/>
        <v>0</v>
      </c>
      <c r="V23" s="41">
        <f t="shared" si="14"/>
        <v>0</v>
      </c>
      <c r="W23" s="41">
        <f t="shared" si="15"/>
        <v>0</v>
      </c>
      <c r="X23" s="41">
        <f t="shared" si="16"/>
        <v>0</v>
      </c>
      <c r="Y23" s="41">
        <f t="shared" si="17"/>
        <v>0</v>
      </c>
      <c r="Z23" s="41">
        <f t="shared" si="18"/>
        <v>0</v>
      </c>
      <c r="AA23" s="41">
        <f t="shared" si="19"/>
        <v>0</v>
      </c>
      <c r="AB23" s="41">
        <f t="shared" si="20"/>
        <v>0</v>
      </c>
      <c r="AC23" s="41">
        <f t="shared" si="21"/>
        <v>0</v>
      </c>
      <c r="AD23" s="41">
        <f t="shared" si="22"/>
        <v>0</v>
      </c>
      <c r="AE23" s="41">
        <f t="shared" si="23"/>
        <v>0</v>
      </c>
      <c r="AF23" s="41">
        <f t="shared" si="24"/>
        <v>0</v>
      </c>
      <c r="AG23" s="41">
        <f t="shared" si="25"/>
        <v>0</v>
      </c>
      <c r="AH23" s="41">
        <f t="shared" si="26"/>
        <v>0</v>
      </c>
      <c r="AI23" s="41">
        <f t="shared" si="27"/>
        <v>0</v>
      </c>
      <c r="AJ23" s="41">
        <f t="shared" si="28"/>
        <v>0</v>
      </c>
      <c r="AK23" s="41">
        <f t="shared" si="29"/>
        <v>0</v>
      </c>
      <c r="AL23" s="41">
        <f t="shared" si="30"/>
        <v>0</v>
      </c>
      <c r="AM23" s="41">
        <f t="shared" si="31"/>
        <v>0</v>
      </c>
      <c r="AN23" s="41">
        <f t="shared" si="32"/>
        <v>0</v>
      </c>
      <c r="AO23" s="41">
        <f t="shared" si="33"/>
        <v>0</v>
      </c>
      <c r="AP23" s="41">
        <f t="shared" si="34"/>
        <v>0</v>
      </c>
      <c r="AQ23" s="41">
        <f t="shared" si="35"/>
        <v>0</v>
      </c>
      <c r="AR23" s="41">
        <f t="shared" si="36"/>
        <v>0</v>
      </c>
      <c r="AS23" s="41">
        <f t="shared" si="37"/>
        <v>0</v>
      </c>
      <c r="AT23" s="41">
        <f t="shared" si="38"/>
        <v>0</v>
      </c>
      <c r="AU23" s="41">
        <f t="shared" si="39"/>
        <v>0</v>
      </c>
      <c r="AV23" s="43">
        <f t="shared" si="40"/>
        <v>0</v>
      </c>
      <c r="AW23" s="43">
        <f t="shared" si="41"/>
        <v>0</v>
      </c>
      <c r="AX23" s="43">
        <f t="shared" si="42"/>
        <v>0</v>
      </c>
      <c r="AY23" s="43">
        <f t="shared" si="43"/>
        <v>0</v>
      </c>
      <c r="AZ23" s="43">
        <f t="shared" si="44"/>
        <v>0</v>
      </c>
      <c r="BA23" s="43">
        <f t="shared" si="45"/>
        <v>0</v>
      </c>
      <c r="BB23" s="43">
        <f t="shared" si="46"/>
        <v>0</v>
      </c>
      <c r="BC23" s="43">
        <f t="shared" si="47"/>
        <v>0</v>
      </c>
      <c r="BD23" s="42" t="e">
        <f>#REF!*P23</f>
        <v>#REF!</v>
      </c>
      <c r="BE23" s="42" t="e">
        <f>#REF!*Q23</f>
        <v>#REF!</v>
      </c>
      <c r="BF23" s="42" t="e">
        <f>#REF!*R23</f>
        <v>#REF!</v>
      </c>
      <c r="BG23" s="42" t="e">
        <f>#REF!*S23</f>
        <v>#REF!</v>
      </c>
      <c r="BH23" s="1"/>
      <c r="BL23" s="1"/>
      <c r="BM23" s="1"/>
    </row>
    <row r="24" spans="1:65" s="4" customFormat="1" x14ac:dyDescent="0.2">
      <c r="A24" s="190" t="s">
        <v>136</v>
      </c>
      <c r="B24" s="189"/>
      <c r="C24" s="189"/>
      <c r="D24" s="189"/>
      <c r="E24" s="189"/>
      <c r="F24" s="198">
        <v>0.84</v>
      </c>
      <c r="G24" s="193">
        <v>1</v>
      </c>
      <c r="H24" s="194">
        <v>10</v>
      </c>
      <c r="I24" s="195">
        <v>69</v>
      </c>
      <c r="J24" s="195">
        <v>90</v>
      </c>
      <c r="K24" s="194">
        <v>650</v>
      </c>
      <c r="L24" s="194">
        <v>5</v>
      </c>
      <c r="M24" s="196">
        <v>3.6</v>
      </c>
      <c r="N24" s="207">
        <v>140</v>
      </c>
      <c r="O24" s="197">
        <v>0</v>
      </c>
      <c r="P24" s="41">
        <f t="shared" si="8"/>
        <v>0</v>
      </c>
      <c r="Q24" s="41">
        <f t="shared" si="9"/>
        <v>0</v>
      </c>
      <c r="R24" s="41">
        <f t="shared" si="10"/>
        <v>0</v>
      </c>
      <c r="S24" s="41">
        <f t="shared" si="11"/>
        <v>0</v>
      </c>
      <c r="T24" s="41">
        <f t="shared" si="12"/>
        <v>0</v>
      </c>
      <c r="U24" s="41">
        <f t="shared" si="13"/>
        <v>0</v>
      </c>
      <c r="V24" s="41">
        <f t="shared" si="14"/>
        <v>0</v>
      </c>
      <c r="W24" s="41">
        <f t="shared" si="15"/>
        <v>0</v>
      </c>
      <c r="X24" s="41">
        <f t="shared" si="16"/>
        <v>0</v>
      </c>
      <c r="Y24" s="41">
        <f t="shared" si="17"/>
        <v>0</v>
      </c>
      <c r="Z24" s="41">
        <f t="shared" si="18"/>
        <v>0</v>
      </c>
      <c r="AA24" s="41">
        <f t="shared" si="19"/>
        <v>0</v>
      </c>
      <c r="AB24" s="41">
        <f t="shared" si="20"/>
        <v>0</v>
      </c>
      <c r="AC24" s="41">
        <f t="shared" si="21"/>
        <v>0</v>
      </c>
      <c r="AD24" s="41">
        <f t="shared" si="22"/>
        <v>0</v>
      </c>
      <c r="AE24" s="41">
        <f t="shared" si="23"/>
        <v>0</v>
      </c>
      <c r="AF24" s="41">
        <f t="shared" si="24"/>
        <v>0</v>
      </c>
      <c r="AG24" s="41">
        <f t="shared" si="25"/>
        <v>0</v>
      </c>
      <c r="AH24" s="41">
        <f t="shared" si="26"/>
        <v>0</v>
      </c>
      <c r="AI24" s="41">
        <f t="shared" si="27"/>
        <v>0</v>
      </c>
      <c r="AJ24" s="41">
        <f t="shared" si="28"/>
        <v>0</v>
      </c>
      <c r="AK24" s="41">
        <f t="shared" si="29"/>
        <v>0</v>
      </c>
      <c r="AL24" s="41">
        <f t="shared" si="30"/>
        <v>0</v>
      </c>
      <c r="AM24" s="41">
        <f t="shared" si="31"/>
        <v>0</v>
      </c>
      <c r="AN24" s="41">
        <f t="shared" si="32"/>
        <v>0</v>
      </c>
      <c r="AO24" s="41">
        <f t="shared" si="33"/>
        <v>0</v>
      </c>
      <c r="AP24" s="41">
        <f t="shared" si="34"/>
        <v>0</v>
      </c>
      <c r="AQ24" s="41">
        <f t="shared" si="35"/>
        <v>0</v>
      </c>
      <c r="AR24" s="41">
        <f t="shared" si="36"/>
        <v>0</v>
      </c>
      <c r="AS24" s="41">
        <f t="shared" si="37"/>
        <v>0</v>
      </c>
      <c r="AT24" s="41">
        <f t="shared" si="38"/>
        <v>0</v>
      </c>
      <c r="AU24" s="41">
        <f t="shared" si="39"/>
        <v>0</v>
      </c>
      <c r="AV24" s="43">
        <f t="shared" si="40"/>
        <v>0</v>
      </c>
      <c r="AW24" s="43">
        <f t="shared" si="41"/>
        <v>0</v>
      </c>
      <c r="AX24" s="43">
        <f t="shared" si="42"/>
        <v>0</v>
      </c>
      <c r="AY24" s="43">
        <f t="shared" si="43"/>
        <v>0</v>
      </c>
      <c r="AZ24" s="43">
        <f t="shared" si="44"/>
        <v>0</v>
      </c>
      <c r="BA24" s="43">
        <f t="shared" si="45"/>
        <v>0</v>
      </c>
      <c r="BB24" s="43">
        <f t="shared" si="46"/>
        <v>0</v>
      </c>
      <c r="BC24" s="43">
        <f t="shared" si="47"/>
        <v>0</v>
      </c>
      <c r="BD24" s="42" t="e">
        <f>#REF!*P24</f>
        <v>#REF!</v>
      </c>
      <c r="BE24" s="42" t="e">
        <f>#REF!*Q24</f>
        <v>#REF!</v>
      </c>
      <c r="BF24" s="42" t="e">
        <f>#REF!*R24</f>
        <v>#REF!</v>
      </c>
      <c r="BG24" s="42" t="e">
        <f>#REF!*S24</f>
        <v>#REF!</v>
      </c>
    </row>
    <row r="25" spans="1:65" x14ac:dyDescent="0.2">
      <c r="A25" s="190" t="s">
        <v>137</v>
      </c>
      <c r="B25" s="189"/>
      <c r="C25" s="189"/>
      <c r="D25" s="189"/>
      <c r="E25" s="189"/>
      <c r="F25" s="198">
        <v>1</v>
      </c>
      <c r="G25" s="193">
        <v>1</v>
      </c>
      <c r="H25" s="194">
        <v>10.4</v>
      </c>
      <c r="I25" s="195">
        <v>76</v>
      </c>
      <c r="J25" s="195">
        <v>99</v>
      </c>
      <c r="K25" s="194">
        <v>617</v>
      </c>
      <c r="L25" s="194">
        <v>6.5</v>
      </c>
      <c r="M25" s="196">
        <v>2.2999999999999998</v>
      </c>
      <c r="N25" s="207">
        <v>120</v>
      </c>
      <c r="O25" s="197">
        <v>0</v>
      </c>
      <c r="P25" s="41">
        <f t="shared" si="8"/>
        <v>0</v>
      </c>
      <c r="Q25" s="41">
        <f t="shared" si="9"/>
        <v>0</v>
      </c>
      <c r="R25" s="41">
        <f t="shared" si="10"/>
        <v>0</v>
      </c>
      <c r="S25" s="41">
        <f t="shared" si="11"/>
        <v>0</v>
      </c>
      <c r="T25" s="41">
        <f t="shared" si="12"/>
        <v>0</v>
      </c>
      <c r="U25" s="41">
        <f t="shared" si="13"/>
        <v>0</v>
      </c>
      <c r="V25" s="41">
        <f t="shared" si="14"/>
        <v>0</v>
      </c>
      <c r="W25" s="41">
        <f t="shared" si="15"/>
        <v>0</v>
      </c>
      <c r="X25" s="41">
        <f t="shared" si="16"/>
        <v>0</v>
      </c>
      <c r="Y25" s="41">
        <f t="shared" si="17"/>
        <v>0</v>
      </c>
      <c r="Z25" s="41">
        <f t="shared" si="18"/>
        <v>0</v>
      </c>
      <c r="AA25" s="41">
        <f t="shared" si="19"/>
        <v>0</v>
      </c>
      <c r="AB25" s="41">
        <f t="shared" si="20"/>
        <v>0</v>
      </c>
      <c r="AC25" s="41">
        <f t="shared" si="21"/>
        <v>0</v>
      </c>
      <c r="AD25" s="41">
        <f t="shared" si="22"/>
        <v>0</v>
      </c>
      <c r="AE25" s="41">
        <f t="shared" si="23"/>
        <v>0</v>
      </c>
      <c r="AF25" s="41">
        <f t="shared" si="24"/>
        <v>0</v>
      </c>
      <c r="AG25" s="41">
        <f t="shared" si="25"/>
        <v>0</v>
      </c>
      <c r="AH25" s="41">
        <f t="shared" si="26"/>
        <v>0</v>
      </c>
      <c r="AI25" s="41">
        <f t="shared" si="27"/>
        <v>0</v>
      </c>
      <c r="AJ25" s="41">
        <f t="shared" si="28"/>
        <v>0</v>
      </c>
      <c r="AK25" s="41">
        <f t="shared" si="29"/>
        <v>0</v>
      </c>
      <c r="AL25" s="41">
        <f t="shared" si="30"/>
        <v>0</v>
      </c>
      <c r="AM25" s="41">
        <f t="shared" si="31"/>
        <v>0</v>
      </c>
      <c r="AN25" s="41">
        <f t="shared" si="32"/>
        <v>0</v>
      </c>
      <c r="AO25" s="41">
        <f t="shared" si="33"/>
        <v>0</v>
      </c>
      <c r="AP25" s="41">
        <f t="shared" si="34"/>
        <v>0</v>
      </c>
      <c r="AQ25" s="41">
        <f t="shared" si="35"/>
        <v>0</v>
      </c>
      <c r="AR25" s="41">
        <f t="shared" si="36"/>
        <v>0</v>
      </c>
      <c r="AS25" s="41">
        <f t="shared" si="37"/>
        <v>0</v>
      </c>
      <c r="AT25" s="41">
        <f t="shared" si="38"/>
        <v>0</v>
      </c>
      <c r="AU25" s="41">
        <f t="shared" si="39"/>
        <v>0</v>
      </c>
      <c r="AV25" s="43">
        <f t="shared" si="40"/>
        <v>0</v>
      </c>
      <c r="AW25" s="43">
        <f t="shared" si="41"/>
        <v>0</v>
      </c>
      <c r="AX25" s="43">
        <f t="shared" si="42"/>
        <v>0</v>
      </c>
      <c r="AY25" s="43">
        <f t="shared" si="43"/>
        <v>0</v>
      </c>
      <c r="AZ25" s="43">
        <f t="shared" si="44"/>
        <v>0</v>
      </c>
      <c r="BA25" s="43">
        <f t="shared" si="45"/>
        <v>0</v>
      </c>
      <c r="BB25" s="43">
        <f t="shared" si="46"/>
        <v>0</v>
      </c>
      <c r="BC25" s="43">
        <f t="shared" si="47"/>
        <v>0</v>
      </c>
      <c r="BD25" s="42" t="e">
        <f>#REF!*P25</f>
        <v>#REF!</v>
      </c>
      <c r="BE25" s="42" t="e">
        <f>#REF!*Q25</f>
        <v>#REF!</v>
      </c>
      <c r="BF25" s="42" t="e">
        <f>#REF!*R25</f>
        <v>#REF!</v>
      </c>
      <c r="BG25" s="42" t="e">
        <f>#REF!*S25</f>
        <v>#REF!</v>
      </c>
      <c r="BH25" s="4"/>
      <c r="BI25" s="4"/>
      <c r="BJ25" s="4"/>
      <c r="BK25" s="4"/>
    </row>
    <row r="26" spans="1:65" x14ac:dyDescent="0.2">
      <c r="A26" s="190" t="s">
        <v>138</v>
      </c>
      <c r="B26" s="189"/>
      <c r="C26" s="189"/>
      <c r="D26" s="189"/>
      <c r="E26" s="189"/>
      <c r="F26" s="198">
        <v>0.87</v>
      </c>
      <c r="G26" s="193">
        <v>0</v>
      </c>
      <c r="H26" s="194">
        <v>12.9</v>
      </c>
      <c r="I26" s="195">
        <v>79</v>
      </c>
      <c r="J26" s="195">
        <v>300</v>
      </c>
      <c r="K26" s="194">
        <v>145</v>
      </c>
      <c r="L26" s="194">
        <v>4</v>
      </c>
      <c r="M26" s="196">
        <v>4.8</v>
      </c>
      <c r="N26" s="207">
        <v>240</v>
      </c>
      <c r="O26" s="197">
        <v>1</v>
      </c>
      <c r="P26" s="41">
        <f t="shared" si="8"/>
        <v>0</v>
      </c>
      <c r="Q26" s="41">
        <f t="shared" si="9"/>
        <v>0</v>
      </c>
      <c r="R26" s="41">
        <f t="shared" si="10"/>
        <v>0</v>
      </c>
      <c r="S26" s="41">
        <f t="shared" si="11"/>
        <v>0</v>
      </c>
      <c r="T26" s="41">
        <f t="shared" si="12"/>
        <v>0</v>
      </c>
      <c r="U26" s="41">
        <f t="shared" si="13"/>
        <v>0</v>
      </c>
      <c r="V26" s="41">
        <f t="shared" si="14"/>
        <v>0</v>
      </c>
      <c r="W26" s="41">
        <f t="shared" si="15"/>
        <v>0</v>
      </c>
      <c r="X26" s="41">
        <f t="shared" si="16"/>
        <v>0</v>
      </c>
      <c r="Y26" s="41">
        <f t="shared" si="17"/>
        <v>0</v>
      </c>
      <c r="Z26" s="41">
        <f t="shared" si="18"/>
        <v>0</v>
      </c>
      <c r="AA26" s="41">
        <f t="shared" si="19"/>
        <v>0</v>
      </c>
      <c r="AB26" s="41">
        <f t="shared" si="20"/>
        <v>0</v>
      </c>
      <c r="AC26" s="41">
        <f t="shared" si="21"/>
        <v>0</v>
      </c>
      <c r="AD26" s="41">
        <f t="shared" si="22"/>
        <v>0</v>
      </c>
      <c r="AE26" s="41">
        <f t="shared" si="23"/>
        <v>0</v>
      </c>
      <c r="AF26" s="41">
        <f t="shared" si="24"/>
        <v>0</v>
      </c>
      <c r="AG26" s="41">
        <f t="shared" si="25"/>
        <v>0</v>
      </c>
      <c r="AH26" s="41">
        <f t="shared" si="26"/>
        <v>0</v>
      </c>
      <c r="AI26" s="41">
        <f t="shared" si="27"/>
        <v>0</v>
      </c>
      <c r="AJ26" s="41">
        <f t="shared" si="28"/>
        <v>0</v>
      </c>
      <c r="AK26" s="41">
        <f t="shared" si="29"/>
        <v>0</v>
      </c>
      <c r="AL26" s="41">
        <f t="shared" si="30"/>
        <v>0</v>
      </c>
      <c r="AM26" s="41">
        <f t="shared" si="31"/>
        <v>0</v>
      </c>
      <c r="AN26" s="41">
        <f t="shared" si="32"/>
        <v>0</v>
      </c>
      <c r="AO26" s="41">
        <f t="shared" si="33"/>
        <v>0</v>
      </c>
      <c r="AP26" s="41">
        <f t="shared" si="34"/>
        <v>0</v>
      </c>
      <c r="AQ26" s="41">
        <f t="shared" si="35"/>
        <v>0</v>
      </c>
      <c r="AR26" s="41">
        <f t="shared" si="36"/>
        <v>0</v>
      </c>
      <c r="AS26" s="41">
        <f t="shared" si="37"/>
        <v>0</v>
      </c>
      <c r="AT26" s="41">
        <f t="shared" si="38"/>
        <v>0</v>
      </c>
      <c r="AU26" s="41">
        <f t="shared" si="39"/>
        <v>0</v>
      </c>
      <c r="AV26" s="43">
        <f t="shared" si="40"/>
        <v>0</v>
      </c>
      <c r="AW26" s="43">
        <f t="shared" si="41"/>
        <v>0</v>
      </c>
      <c r="AX26" s="43">
        <f t="shared" si="42"/>
        <v>0</v>
      </c>
      <c r="AY26" s="43">
        <f t="shared" si="43"/>
        <v>0</v>
      </c>
      <c r="AZ26" s="43">
        <f t="shared" si="44"/>
        <v>0</v>
      </c>
      <c r="BA26" s="43">
        <f t="shared" si="45"/>
        <v>0</v>
      </c>
      <c r="BB26" s="43">
        <f t="shared" si="46"/>
        <v>0</v>
      </c>
      <c r="BC26" s="43">
        <f t="shared" si="47"/>
        <v>0</v>
      </c>
      <c r="BD26" s="42" t="e">
        <f>#REF!*P26</f>
        <v>#REF!</v>
      </c>
      <c r="BE26" s="42" t="e">
        <f>#REF!*Q26</f>
        <v>#REF!</v>
      </c>
      <c r="BF26" s="42" t="e">
        <f>#REF!*R26</f>
        <v>#REF!</v>
      </c>
      <c r="BG26" s="42" t="e">
        <f>#REF!*S26</f>
        <v>#REF!</v>
      </c>
      <c r="BH26" s="4"/>
      <c r="BI26" s="4"/>
      <c r="BJ26" s="4"/>
      <c r="BK26" s="4"/>
      <c r="BL26" s="4"/>
      <c r="BM26" s="4"/>
    </row>
    <row r="27" spans="1:65" x14ac:dyDescent="0.2">
      <c r="A27" s="190" t="s">
        <v>139</v>
      </c>
      <c r="B27" s="189"/>
      <c r="C27" s="189"/>
      <c r="D27" s="189"/>
      <c r="E27" s="189"/>
      <c r="F27" s="198">
        <v>0.9</v>
      </c>
      <c r="G27" s="201">
        <v>0</v>
      </c>
      <c r="H27" s="203">
        <v>12.2</v>
      </c>
      <c r="I27" s="205">
        <v>22</v>
      </c>
      <c r="J27" s="195">
        <v>384</v>
      </c>
      <c r="K27" s="203">
        <v>332</v>
      </c>
      <c r="L27" s="203">
        <v>8</v>
      </c>
      <c r="M27" s="196">
        <v>12</v>
      </c>
      <c r="N27" s="207">
        <v>460</v>
      </c>
      <c r="O27" s="197">
        <v>1</v>
      </c>
      <c r="P27" s="41">
        <f t="shared" si="8"/>
        <v>0</v>
      </c>
      <c r="Q27" s="41">
        <f t="shared" si="9"/>
        <v>0</v>
      </c>
      <c r="R27" s="41">
        <f t="shared" si="10"/>
        <v>0</v>
      </c>
      <c r="S27" s="41">
        <f t="shared" si="11"/>
        <v>0</v>
      </c>
      <c r="T27" s="41">
        <f t="shared" si="12"/>
        <v>0</v>
      </c>
      <c r="U27" s="41">
        <f t="shared" si="13"/>
        <v>0</v>
      </c>
      <c r="V27" s="41">
        <f t="shared" si="14"/>
        <v>0</v>
      </c>
      <c r="W27" s="41">
        <f t="shared" si="15"/>
        <v>0</v>
      </c>
      <c r="X27" s="41">
        <f t="shared" si="16"/>
        <v>0</v>
      </c>
      <c r="Y27" s="41">
        <f t="shared" si="17"/>
        <v>0</v>
      </c>
      <c r="Z27" s="41">
        <f t="shared" si="18"/>
        <v>0</v>
      </c>
      <c r="AA27" s="41">
        <f t="shared" si="19"/>
        <v>0</v>
      </c>
      <c r="AB27" s="41">
        <f t="shared" si="20"/>
        <v>0</v>
      </c>
      <c r="AC27" s="41">
        <f t="shared" si="21"/>
        <v>0</v>
      </c>
      <c r="AD27" s="41">
        <f t="shared" si="22"/>
        <v>0</v>
      </c>
      <c r="AE27" s="41">
        <f t="shared" si="23"/>
        <v>0</v>
      </c>
      <c r="AF27" s="41">
        <f t="shared" si="24"/>
        <v>0</v>
      </c>
      <c r="AG27" s="41">
        <f t="shared" si="25"/>
        <v>0</v>
      </c>
      <c r="AH27" s="41">
        <f t="shared" si="26"/>
        <v>0</v>
      </c>
      <c r="AI27" s="41">
        <f t="shared" si="27"/>
        <v>0</v>
      </c>
      <c r="AJ27" s="41">
        <f t="shared" si="28"/>
        <v>0</v>
      </c>
      <c r="AK27" s="41">
        <f t="shared" si="29"/>
        <v>0</v>
      </c>
      <c r="AL27" s="41">
        <f t="shared" si="30"/>
        <v>0</v>
      </c>
      <c r="AM27" s="41">
        <f t="shared" si="31"/>
        <v>0</v>
      </c>
      <c r="AN27" s="41">
        <f t="shared" si="32"/>
        <v>0</v>
      </c>
      <c r="AO27" s="41">
        <f t="shared" si="33"/>
        <v>0</v>
      </c>
      <c r="AP27" s="41">
        <f t="shared" si="34"/>
        <v>0</v>
      </c>
      <c r="AQ27" s="41">
        <f t="shared" si="35"/>
        <v>0</v>
      </c>
      <c r="AR27" s="41">
        <f t="shared" si="36"/>
        <v>0</v>
      </c>
      <c r="AS27" s="41">
        <f t="shared" si="37"/>
        <v>0</v>
      </c>
      <c r="AT27" s="41">
        <f t="shared" si="38"/>
        <v>0</v>
      </c>
      <c r="AU27" s="41">
        <f t="shared" si="39"/>
        <v>0</v>
      </c>
      <c r="AV27" s="43">
        <f t="shared" si="40"/>
        <v>0</v>
      </c>
      <c r="AW27" s="43">
        <f t="shared" si="41"/>
        <v>0</v>
      </c>
      <c r="AX27" s="43">
        <f t="shared" si="42"/>
        <v>0</v>
      </c>
      <c r="AY27" s="43">
        <f t="shared" si="43"/>
        <v>0</v>
      </c>
      <c r="AZ27" s="43">
        <f t="shared" si="44"/>
        <v>0</v>
      </c>
      <c r="BA27" s="43">
        <f t="shared" si="45"/>
        <v>0</v>
      </c>
      <c r="BB27" s="43">
        <f t="shared" si="46"/>
        <v>0</v>
      </c>
      <c r="BC27" s="43">
        <f t="shared" si="47"/>
        <v>0</v>
      </c>
      <c r="BD27" s="42" t="e">
        <f>#REF!*P27</f>
        <v>#REF!</v>
      </c>
      <c r="BE27" s="42" t="e">
        <f>#REF!*Q27</f>
        <v>#REF!</v>
      </c>
      <c r="BF27" s="42" t="e">
        <f>#REF!*R27</f>
        <v>#REF!</v>
      </c>
      <c r="BG27" s="42" t="e">
        <f>#REF!*S27</f>
        <v>#REF!</v>
      </c>
      <c r="BH27" s="4"/>
      <c r="BI27" s="4"/>
      <c r="BJ27" s="4"/>
      <c r="BK27" s="4"/>
      <c r="BL27" s="4"/>
      <c r="BM27" s="4"/>
    </row>
    <row r="28" spans="1:65" x14ac:dyDescent="0.2">
      <c r="A28" s="190" t="s">
        <v>140</v>
      </c>
      <c r="B28" s="189"/>
      <c r="C28" s="189"/>
      <c r="D28" s="189"/>
      <c r="E28" s="189"/>
      <c r="F28" s="198">
        <v>0.84</v>
      </c>
      <c r="G28" s="201">
        <v>0</v>
      </c>
      <c r="H28" s="203">
        <v>12.4</v>
      </c>
      <c r="I28" s="205">
        <v>78</v>
      </c>
      <c r="J28" s="195">
        <v>116</v>
      </c>
      <c r="K28" s="203">
        <v>277</v>
      </c>
      <c r="L28" s="203">
        <v>0.6</v>
      </c>
      <c r="M28" s="196">
        <v>4</v>
      </c>
      <c r="N28" s="207">
        <v>200</v>
      </c>
      <c r="O28" s="197">
        <v>1</v>
      </c>
      <c r="P28" s="41">
        <f t="shared" si="8"/>
        <v>0</v>
      </c>
      <c r="Q28" s="41">
        <f t="shared" si="9"/>
        <v>0</v>
      </c>
      <c r="R28" s="41">
        <f t="shared" si="10"/>
        <v>0</v>
      </c>
      <c r="S28" s="41">
        <f t="shared" si="11"/>
        <v>0</v>
      </c>
      <c r="T28" s="41">
        <f t="shared" si="12"/>
        <v>0</v>
      </c>
      <c r="U28" s="41">
        <f t="shared" si="13"/>
        <v>0</v>
      </c>
      <c r="V28" s="41">
        <f t="shared" si="14"/>
        <v>0</v>
      </c>
      <c r="W28" s="41">
        <f t="shared" si="15"/>
        <v>0</v>
      </c>
      <c r="X28" s="41">
        <f t="shared" si="16"/>
        <v>0</v>
      </c>
      <c r="Y28" s="41">
        <f t="shared" si="17"/>
        <v>0</v>
      </c>
      <c r="Z28" s="41">
        <f t="shared" si="18"/>
        <v>0</v>
      </c>
      <c r="AA28" s="41">
        <f t="shared" si="19"/>
        <v>0</v>
      </c>
      <c r="AB28" s="41">
        <f t="shared" si="20"/>
        <v>0</v>
      </c>
      <c r="AC28" s="41">
        <f t="shared" si="21"/>
        <v>0</v>
      </c>
      <c r="AD28" s="41">
        <f t="shared" si="22"/>
        <v>0</v>
      </c>
      <c r="AE28" s="41">
        <f t="shared" si="23"/>
        <v>0</v>
      </c>
      <c r="AF28" s="41">
        <f t="shared" si="24"/>
        <v>0</v>
      </c>
      <c r="AG28" s="41">
        <f t="shared" si="25"/>
        <v>0</v>
      </c>
      <c r="AH28" s="41">
        <f t="shared" si="26"/>
        <v>0</v>
      </c>
      <c r="AI28" s="41">
        <f t="shared" si="27"/>
        <v>0</v>
      </c>
      <c r="AJ28" s="41">
        <f t="shared" si="28"/>
        <v>0</v>
      </c>
      <c r="AK28" s="41">
        <f t="shared" si="29"/>
        <v>0</v>
      </c>
      <c r="AL28" s="41">
        <f t="shared" si="30"/>
        <v>0</v>
      </c>
      <c r="AM28" s="41">
        <f t="shared" si="31"/>
        <v>0</v>
      </c>
      <c r="AN28" s="41">
        <f t="shared" si="32"/>
        <v>0</v>
      </c>
      <c r="AO28" s="41">
        <f t="shared" si="33"/>
        <v>0</v>
      </c>
      <c r="AP28" s="41">
        <f t="shared" si="34"/>
        <v>0</v>
      </c>
      <c r="AQ28" s="41">
        <f t="shared" si="35"/>
        <v>0</v>
      </c>
      <c r="AR28" s="41">
        <f t="shared" si="36"/>
        <v>0</v>
      </c>
      <c r="AS28" s="41">
        <f t="shared" si="37"/>
        <v>0</v>
      </c>
      <c r="AT28" s="41">
        <f t="shared" si="38"/>
        <v>0</v>
      </c>
      <c r="AU28" s="41">
        <f t="shared" si="39"/>
        <v>0</v>
      </c>
      <c r="AV28" s="43">
        <f t="shared" si="40"/>
        <v>0</v>
      </c>
      <c r="AW28" s="43">
        <f t="shared" si="41"/>
        <v>0</v>
      </c>
      <c r="AX28" s="43">
        <f t="shared" si="42"/>
        <v>0</v>
      </c>
      <c r="AY28" s="43">
        <f t="shared" si="43"/>
        <v>0</v>
      </c>
      <c r="AZ28" s="43">
        <f t="shared" si="44"/>
        <v>0</v>
      </c>
      <c r="BA28" s="43">
        <f t="shared" si="45"/>
        <v>0</v>
      </c>
      <c r="BB28" s="43">
        <f t="shared" si="46"/>
        <v>0</v>
      </c>
      <c r="BC28" s="43">
        <f t="shared" si="47"/>
        <v>0</v>
      </c>
      <c r="BD28" s="42" t="e">
        <f>#REF!*P28</f>
        <v>#REF!</v>
      </c>
      <c r="BE28" s="42" t="e">
        <f>#REF!*Q28</f>
        <v>#REF!</v>
      </c>
      <c r="BF28" s="42" t="e">
        <f>#REF!*R28</f>
        <v>#REF!</v>
      </c>
      <c r="BG28" s="42" t="e">
        <f>#REF!*S28</f>
        <v>#REF!</v>
      </c>
      <c r="BH28" s="4"/>
      <c r="BI28" s="4"/>
      <c r="BJ28" s="4"/>
      <c r="BK28" s="4"/>
    </row>
    <row r="29" spans="1:65" x14ac:dyDescent="0.2">
      <c r="A29" s="190" t="s">
        <v>141</v>
      </c>
      <c r="B29" s="189"/>
      <c r="C29" s="189"/>
      <c r="D29" s="189"/>
      <c r="E29" s="189"/>
      <c r="F29" s="192">
        <v>1</v>
      </c>
      <c r="G29" s="201">
        <v>1</v>
      </c>
      <c r="H29" s="203">
        <v>0</v>
      </c>
      <c r="I29" s="205">
        <v>0</v>
      </c>
      <c r="J29" s="195">
        <v>0</v>
      </c>
      <c r="K29" s="203">
        <v>0</v>
      </c>
      <c r="L29" s="203">
        <v>159</v>
      </c>
      <c r="M29" s="196">
        <v>1</v>
      </c>
      <c r="N29" s="207">
        <v>830</v>
      </c>
      <c r="O29" s="197">
        <v>1</v>
      </c>
      <c r="P29" s="41">
        <f t="shared" si="8"/>
        <v>0</v>
      </c>
      <c r="Q29" s="41">
        <f t="shared" si="9"/>
        <v>0</v>
      </c>
      <c r="R29" s="41">
        <f t="shared" si="10"/>
        <v>0</v>
      </c>
      <c r="S29" s="41">
        <f t="shared" si="11"/>
        <v>0</v>
      </c>
      <c r="T29" s="41">
        <f t="shared" si="12"/>
        <v>0</v>
      </c>
      <c r="U29" s="41">
        <f t="shared" si="13"/>
        <v>0</v>
      </c>
      <c r="V29" s="41">
        <f t="shared" si="14"/>
        <v>0</v>
      </c>
      <c r="W29" s="41">
        <f t="shared" si="15"/>
        <v>0</v>
      </c>
      <c r="X29" s="41">
        <f t="shared" si="16"/>
        <v>0</v>
      </c>
      <c r="Y29" s="41">
        <f t="shared" si="17"/>
        <v>0</v>
      </c>
      <c r="Z29" s="41">
        <f t="shared" si="18"/>
        <v>0</v>
      </c>
      <c r="AA29" s="41">
        <f t="shared" si="19"/>
        <v>0</v>
      </c>
      <c r="AB29" s="41">
        <f t="shared" si="20"/>
        <v>0</v>
      </c>
      <c r="AC29" s="41">
        <f t="shared" si="21"/>
        <v>0</v>
      </c>
      <c r="AD29" s="41">
        <f t="shared" si="22"/>
        <v>0</v>
      </c>
      <c r="AE29" s="41">
        <f t="shared" si="23"/>
        <v>0</v>
      </c>
      <c r="AF29" s="41">
        <f t="shared" si="24"/>
        <v>0</v>
      </c>
      <c r="AG29" s="41">
        <f t="shared" si="25"/>
        <v>0</v>
      </c>
      <c r="AH29" s="41">
        <f t="shared" si="26"/>
        <v>0</v>
      </c>
      <c r="AI29" s="41">
        <f t="shared" si="27"/>
        <v>0</v>
      </c>
      <c r="AJ29" s="41">
        <f t="shared" si="28"/>
        <v>0</v>
      </c>
      <c r="AK29" s="41">
        <f t="shared" si="29"/>
        <v>0</v>
      </c>
      <c r="AL29" s="41">
        <f t="shared" si="30"/>
        <v>0</v>
      </c>
      <c r="AM29" s="41">
        <f t="shared" si="31"/>
        <v>0</v>
      </c>
      <c r="AN29" s="41">
        <f t="shared" si="32"/>
        <v>0</v>
      </c>
      <c r="AO29" s="41">
        <f t="shared" si="33"/>
        <v>0</v>
      </c>
      <c r="AP29" s="41">
        <f t="shared" si="34"/>
        <v>0</v>
      </c>
      <c r="AQ29" s="41">
        <f t="shared" si="35"/>
        <v>0</v>
      </c>
      <c r="AR29" s="41">
        <f t="shared" si="36"/>
        <v>0</v>
      </c>
      <c r="AS29" s="41">
        <f t="shared" si="37"/>
        <v>0</v>
      </c>
      <c r="AT29" s="41">
        <f t="shared" si="38"/>
        <v>0</v>
      </c>
      <c r="AU29" s="41">
        <f t="shared" si="39"/>
        <v>0</v>
      </c>
      <c r="AV29" s="43">
        <f t="shared" si="40"/>
        <v>0</v>
      </c>
      <c r="AW29" s="43">
        <f t="shared" si="41"/>
        <v>0</v>
      </c>
      <c r="AX29" s="43">
        <f t="shared" si="42"/>
        <v>0</v>
      </c>
      <c r="AY29" s="43">
        <f t="shared" si="43"/>
        <v>0</v>
      </c>
      <c r="AZ29" s="43">
        <f t="shared" si="44"/>
        <v>0</v>
      </c>
      <c r="BA29" s="43">
        <f t="shared" si="45"/>
        <v>0</v>
      </c>
      <c r="BB29" s="43">
        <f t="shared" si="46"/>
        <v>0</v>
      </c>
      <c r="BC29" s="43">
        <f t="shared" si="47"/>
        <v>0</v>
      </c>
      <c r="BD29" s="42" t="e">
        <f>#REF!*P29</f>
        <v>#REF!</v>
      </c>
      <c r="BE29" s="42" t="e">
        <f>#REF!*Q29</f>
        <v>#REF!</v>
      </c>
      <c r="BF29" s="42" t="e">
        <f>#REF!*R29</f>
        <v>#REF!</v>
      </c>
      <c r="BG29" s="42" t="e">
        <f>#REF!*S29</f>
        <v>#REF!</v>
      </c>
      <c r="BH29" s="4"/>
      <c r="BI29" s="4"/>
      <c r="BJ29" s="4"/>
      <c r="BK29" s="4"/>
    </row>
    <row r="30" spans="1:65" x14ac:dyDescent="0.2">
      <c r="A30" s="190" t="s">
        <v>142</v>
      </c>
      <c r="B30" s="189"/>
      <c r="C30" s="189"/>
      <c r="D30" s="189"/>
      <c r="E30" s="189"/>
      <c r="F30" s="192"/>
      <c r="G30" s="201"/>
      <c r="H30" s="203"/>
      <c r="I30" s="205"/>
      <c r="J30" s="195"/>
      <c r="K30" s="203"/>
      <c r="L30" s="203"/>
      <c r="M30" s="196"/>
      <c r="N30" s="207"/>
      <c r="O30" s="197"/>
      <c r="P30" s="41">
        <f t="shared" si="8"/>
        <v>0</v>
      </c>
      <c r="Q30" s="41">
        <f t="shared" si="9"/>
        <v>0</v>
      </c>
      <c r="R30" s="41">
        <f t="shared" si="10"/>
        <v>0</v>
      </c>
      <c r="S30" s="41">
        <f t="shared" si="11"/>
        <v>0</v>
      </c>
      <c r="T30" s="41">
        <f t="shared" si="12"/>
        <v>0</v>
      </c>
      <c r="U30" s="41">
        <f t="shared" si="13"/>
        <v>0</v>
      </c>
      <c r="V30" s="41">
        <f t="shared" si="14"/>
        <v>0</v>
      </c>
      <c r="W30" s="41">
        <f t="shared" si="15"/>
        <v>0</v>
      </c>
      <c r="X30" s="41">
        <f t="shared" si="16"/>
        <v>0</v>
      </c>
      <c r="Y30" s="41">
        <f t="shared" si="17"/>
        <v>0</v>
      </c>
      <c r="Z30" s="41">
        <f t="shared" si="18"/>
        <v>0</v>
      </c>
      <c r="AA30" s="41">
        <f t="shared" si="19"/>
        <v>0</v>
      </c>
      <c r="AB30" s="41">
        <f t="shared" si="20"/>
        <v>0</v>
      </c>
      <c r="AC30" s="41">
        <f t="shared" si="21"/>
        <v>0</v>
      </c>
      <c r="AD30" s="41">
        <f t="shared" si="22"/>
        <v>0</v>
      </c>
      <c r="AE30" s="41">
        <f t="shared" si="23"/>
        <v>0</v>
      </c>
      <c r="AF30" s="41">
        <f t="shared" si="24"/>
        <v>0</v>
      </c>
      <c r="AG30" s="41">
        <f t="shared" si="25"/>
        <v>0</v>
      </c>
      <c r="AH30" s="41">
        <f t="shared" si="26"/>
        <v>0</v>
      </c>
      <c r="AI30" s="41">
        <f t="shared" si="27"/>
        <v>0</v>
      </c>
      <c r="AJ30" s="41">
        <f t="shared" si="28"/>
        <v>0</v>
      </c>
      <c r="AK30" s="41">
        <f t="shared" si="29"/>
        <v>0</v>
      </c>
      <c r="AL30" s="41">
        <f t="shared" si="30"/>
        <v>0</v>
      </c>
      <c r="AM30" s="41">
        <f t="shared" si="31"/>
        <v>0</v>
      </c>
      <c r="AN30" s="41">
        <f t="shared" si="32"/>
        <v>0</v>
      </c>
      <c r="AO30" s="41">
        <f t="shared" si="33"/>
        <v>0</v>
      </c>
      <c r="AP30" s="41">
        <f t="shared" si="34"/>
        <v>0</v>
      </c>
      <c r="AQ30" s="41">
        <f t="shared" si="35"/>
        <v>0</v>
      </c>
      <c r="AR30" s="41">
        <f t="shared" si="36"/>
        <v>0</v>
      </c>
      <c r="AS30" s="41">
        <f t="shared" si="37"/>
        <v>0</v>
      </c>
      <c r="AT30" s="41">
        <f t="shared" si="38"/>
        <v>0</v>
      </c>
      <c r="AU30" s="41">
        <f t="shared" si="39"/>
        <v>0</v>
      </c>
      <c r="AV30" s="43">
        <f t="shared" si="40"/>
        <v>0</v>
      </c>
      <c r="AW30" s="43">
        <f t="shared" si="41"/>
        <v>0</v>
      </c>
      <c r="AX30" s="43">
        <f t="shared" si="42"/>
        <v>0</v>
      </c>
      <c r="AY30" s="43">
        <f t="shared" si="43"/>
        <v>0</v>
      </c>
      <c r="AZ30" s="43">
        <f t="shared" si="44"/>
        <v>0</v>
      </c>
      <c r="BA30" s="43">
        <f t="shared" si="45"/>
        <v>0</v>
      </c>
      <c r="BB30" s="43">
        <f t="shared" si="46"/>
        <v>0</v>
      </c>
      <c r="BC30" s="43">
        <f t="shared" si="47"/>
        <v>0</v>
      </c>
      <c r="BD30" s="42" t="e">
        <f>#REF!*P30</f>
        <v>#REF!</v>
      </c>
      <c r="BE30" s="42" t="e">
        <f>#REF!*Q30</f>
        <v>#REF!</v>
      </c>
      <c r="BF30" s="42" t="e">
        <f>#REF!*R30</f>
        <v>#REF!</v>
      </c>
      <c r="BG30" s="42" t="e">
        <f>#REF!*S30</f>
        <v>#REF!</v>
      </c>
    </row>
    <row r="31" spans="1:65" x14ac:dyDescent="0.2">
      <c r="A31" s="190" t="s">
        <v>143</v>
      </c>
      <c r="B31" s="189"/>
      <c r="C31" s="189"/>
      <c r="D31" s="189"/>
      <c r="E31" s="189"/>
      <c r="F31" s="195"/>
      <c r="G31" s="201"/>
      <c r="H31" s="203"/>
      <c r="I31" s="205"/>
      <c r="J31" s="191"/>
      <c r="K31" s="191"/>
      <c r="L31" s="203"/>
      <c r="M31" s="203"/>
      <c r="N31" s="206"/>
      <c r="O31" s="197"/>
      <c r="P31" s="41">
        <f t="shared" si="8"/>
        <v>0</v>
      </c>
      <c r="Q31" s="41">
        <f t="shared" si="9"/>
        <v>0</v>
      </c>
      <c r="R31" s="41">
        <f t="shared" si="10"/>
        <v>0</v>
      </c>
      <c r="S31" s="41">
        <f t="shared" si="11"/>
        <v>0</v>
      </c>
      <c r="T31" s="41">
        <f t="shared" si="12"/>
        <v>0</v>
      </c>
      <c r="U31" s="41">
        <f t="shared" si="13"/>
        <v>0</v>
      </c>
      <c r="V31" s="41">
        <f t="shared" si="14"/>
        <v>0</v>
      </c>
      <c r="W31" s="41">
        <f t="shared" si="15"/>
        <v>0</v>
      </c>
      <c r="X31" s="41">
        <f t="shared" si="16"/>
        <v>0</v>
      </c>
      <c r="Y31" s="41">
        <f t="shared" si="17"/>
        <v>0</v>
      </c>
      <c r="Z31" s="41">
        <f t="shared" si="18"/>
        <v>0</v>
      </c>
      <c r="AA31" s="41">
        <f t="shared" si="19"/>
        <v>0</v>
      </c>
      <c r="AB31" s="41">
        <f t="shared" si="20"/>
        <v>0</v>
      </c>
      <c r="AC31" s="41">
        <f t="shared" si="21"/>
        <v>0</v>
      </c>
      <c r="AD31" s="41">
        <f t="shared" si="22"/>
        <v>0</v>
      </c>
      <c r="AE31" s="41">
        <f t="shared" si="23"/>
        <v>0</v>
      </c>
      <c r="AF31" s="41">
        <f t="shared" si="24"/>
        <v>0</v>
      </c>
      <c r="AG31" s="41">
        <f t="shared" si="25"/>
        <v>0</v>
      </c>
      <c r="AH31" s="41">
        <f t="shared" si="26"/>
        <v>0</v>
      </c>
      <c r="AI31" s="41">
        <f t="shared" si="27"/>
        <v>0</v>
      </c>
      <c r="AJ31" s="41">
        <f t="shared" si="28"/>
        <v>0</v>
      </c>
      <c r="AK31" s="41">
        <f t="shared" si="29"/>
        <v>0</v>
      </c>
      <c r="AL31" s="41">
        <f t="shared" si="30"/>
        <v>0</v>
      </c>
      <c r="AM31" s="41">
        <f t="shared" si="31"/>
        <v>0</v>
      </c>
      <c r="AN31" s="41">
        <f t="shared" si="32"/>
        <v>0</v>
      </c>
      <c r="AO31" s="41">
        <f t="shared" si="33"/>
        <v>0</v>
      </c>
      <c r="AP31" s="41">
        <f t="shared" si="34"/>
        <v>0</v>
      </c>
      <c r="AQ31" s="41">
        <f t="shared" si="35"/>
        <v>0</v>
      </c>
      <c r="AR31" s="41">
        <f t="shared" si="36"/>
        <v>0</v>
      </c>
      <c r="AS31" s="41">
        <f t="shared" si="37"/>
        <v>0</v>
      </c>
      <c r="AT31" s="41">
        <f t="shared" si="38"/>
        <v>0</v>
      </c>
      <c r="AU31" s="41">
        <f t="shared" si="39"/>
        <v>0</v>
      </c>
      <c r="AV31" s="43">
        <f t="shared" si="40"/>
        <v>0</v>
      </c>
      <c r="AW31" s="43">
        <f t="shared" si="41"/>
        <v>0</v>
      </c>
      <c r="AX31" s="43">
        <f t="shared" si="42"/>
        <v>0</v>
      </c>
      <c r="AY31" s="43">
        <f t="shared" si="43"/>
        <v>0</v>
      </c>
      <c r="AZ31" s="43">
        <f t="shared" si="44"/>
        <v>0</v>
      </c>
      <c r="BA31" s="43">
        <f t="shared" si="45"/>
        <v>0</v>
      </c>
      <c r="BB31" s="43">
        <f t="shared" si="46"/>
        <v>0</v>
      </c>
      <c r="BC31" s="43">
        <f t="shared" si="47"/>
        <v>0</v>
      </c>
      <c r="BD31" s="42" t="e">
        <f>#REF!*P31</f>
        <v>#REF!</v>
      </c>
      <c r="BE31" s="42" t="e">
        <f>#REF!*Q31</f>
        <v>#REF!</v>
      </c>
      <c r="BF31" s="42" t="e">
        <f>#REF!*R31</f>
        <v>#REF!</v>
      </c>
      <c r="BG31" s="42" t="e">
        <f>#REF!*S31</f>
        <v>#REF!</v>
      </c>
      <c r="BH31" s="4"/>
      <c r="BI31" s="4"/>
      <c r="BJ31" s="4"/>
      <c r="BK31" s="4"/>
    </row>
    <row r="32" spans="1:65" x14ac:dyDescent="0.2">
      <c r="A32" s="190" t="s">
        <v>144</v>
      </c>
      <c r="B32" s="189"/>
      <c r="C32" s="189"/>
      <c r="D32" s="189"/>
      <c r="E32" s="189"/>
      <c r="F32" s="195"/>
      <c r="G32" s="201"/>
      <c r="H32" s="203"/>
      <c r="I32" s="205"/>
      <c r="J32" s="191"/>
      <c r="K32" s="191"/>
      <c r="L32" s="203"/>
      <c r="M32" s="203"/>
      <c r="N32" s="206"/>
      <c r="O32" s="197"/>
      <c r="P32" s="41">
        <f t="shared" si="8"/>
        <v>0</v>
      </c>
      <c r="Q32" s="41">
        <f t="shared" si="9"/>
        <v>0</v>
      </c>
      <c r="R32" s="41">
        <f t="shared" si="10"/>
        <v>0</v>
      </c>
      <c r="S32" s="41">
        <f t="shared" si="11"/>
        <v>0</v>
      </c>
      <c r="T32" s="41">
        <f t="shared" si="12"/>
        <v>0</v>
      </c>
      <c r="U32" s="41">
        <f t="shared" si="13"/>
        <v>0</v>
      </c>
      <c r="V32" s="41">
        <f t="shared" si="14"/>
        <v>0</v>
      </c>
      <c r="W32" s="41">
        <f t="shared" si="15"/>
        <v>0</v>
      </c>
      <c r="X32" s="41">
        <f t="shared" si="16"/>
        <v>0</v>
      </c>
      <c r="Y32" s="41">
        <f t="shared" si="17"/>
        <v>0</v>
      </c>
      <c r="Z32" s="41">
        <f t="shared" si="18"/>
        <v>0</v>
      </c>
      <c r="AA32" s="41">
        <f t="shared" si="19"/>
        <v>0</v>
      </c>
      <c r="AB32" s="41">
        <f t="shared" si="20"/>
        <v>0</v>
      </c>
      <c r="AC32" s="41">
        <f t="shared" si="21"/>
        <v>0</v>
      </c>
      <c r="AD32" s="41">
        <f t="shared" si="22"/>
        <v>0</v>
      </c>
      <c r="AE32" s="41">
        <f t="shared" si="23"/>
        <v>0</v>
      </c>
      <c r="AF32" s="41">
        <f t="shared" si="24"/>
        <v>0</v>
      </c>
      <c r="AG32" s="41">
        <f t="shared" si="25"/>
        <v>0</v>
      </c>
      <c r="AH32" s="41">
        <f t="shared" si="26"/>
        <v>0</v>
      </c>
      <c r="AI32" s="41">
        <f t="shared" si="27"/>
        <v>0</v>
      </c>
      <c r="AJ32" s="41">
        <f t="shared" si="28"/>
        <v>0</v>
      </c>
      <c r="AK32" s="41">
        <f t="shared" si="29"/>
        <v>0</v>
      </c>
      <c r="AL32" s="41">
        <f t="shared" si="30"/>
        <v>0</v>
      </c>
      <c r="AM32" s="41">
        <f t="shared" si="31"/>
        <v>0</v>
      </c>
      <c r="AN32" s="41">
        <f t="shared" si="32"/>
        <v>0</v>
      </c>
      <c r="AO32" s="41">
        <f t="shared" si="33"/>
        <v>0</v>
      </c>
      <c r="AP32" s="41">
        <f t="shared" si="34"/>
        <v>0</v>
      </c>
      <c r="AQ32" s="41">
        <f t="shared" si="35"/>
        <v>0</v>
      </c>
      <c r="AR32" s="41">
        <f t="shared" si="36"/>
        <v>0</v>
      </c>
      <c r="AS32" s="41">
        <f t="shared" si="37"/>
        <v>0</v>
      </c>
      <c r="AT32" s="41">
        <f t="shared" si="38"/>
        <v>0</v>
      </c>
      <c r="AU32" s="41">
        <f t="shared" si="39"/>
        <v>0</v>
      </c>
      <c r="AV32" s="43">
        <f t="shared" si="40"/>
        <v>0</v>
      </c>
      <c r="AW32" s="43">
        <f t="shared" si="41"/>
        <v>0</v>
      </c>
      <c r="AX32" s="43">
        <f t="shared" si="42"/>
        <v>0</v>
      </c>
      <c r="AY32" s="43">
        <f t="shared" si="43"/>
        <v>0</v>
      </c>
      <c r="AZ32" s="43">
        <f t="shared" si="44"/>
        <v>0</v>
      </c>
      <c r="BA32" s="43">
        <f t="shared" si="45"/>
        <v>0</v>
      </c>
      <c r="BB32" s="43">
        <f t="shared" si="46"/>
        <v>0</v>
      </c>
      <c r="BC32" s="43">
        <f t="shared" si="47"/>
        <v>0</v>
      </c>
      <c r="BD32" s="42" t="e">
        <f>#REF!*P32</f>
        <v>#REF!</v>
      </c>
      <c r="BE32" s="42" t="e">
        <f>#REF!*Q32</f>
        <v>#REF!</v>
      </c>
      <c r="BF32" s="42" t="e">
        <f>#REF!*R32</f>
        <v>#REF!</v>
      </c>
      <c r="BG32" s="42" t="e">
        <f>#REF!*S32</f>
        <v>#REF!</v>
      </c>
      <c r="BH32" s="4"/>
      <c r="BI32" s="4"/>
      <c r="BJ32" s="4"/>
      <c r="BK32" s="4"/>
    </row>
    <row r="33" spans="1:63" ht="15.75" x14ac:dyDescent="0.25">
      <c r="A33" s="111" t="s">
        <v>67</v>
      </c>
      <c r="B33" s="132">
        <f>SUM(B22:B31)</f>
        <v>0</v>
      </c>
      <c r="C33" s="132">
        <f>SUM(C22:C31)</f>
        <v>0</v>
      </c>
      <c r="D33" s="132">
        <f>SUM(D22:D31)</f>
        <v>0</v>
      </c>
      <c r="E33" s="132">
        <f>SUM(E22:E31)</f>
        <v>0</v>
      </c>
      <c r="F33" s="8"/>
      <c r="G33" s="6"/>
      <c r="H33" s="7"/>
      <c r="I33" s="8"/>
      <c r="J33" s="9"/>
      <c r="K33" s="9"/>
      <c r="L33" s="7"/>
      <c r="M33" s="7"/>
      <c r="N33" s="208"/>
      <c r="O33" s="49"/>
      <c r="P33" s="80">
        <f t="shared" ref="P33:BG33" si="48">SUM(P22:P32)</f>
        <v>0</v>
      </c>
      <c r="Q33" s="80">
        <f t="shared" si="48"/>
        <v>0</v>
      </c>
      <c r="R33" s="80">
        <f>SUM(R22:R32)</f>
        <v>0</v>
      </c>
      <c r="S33" s="80">
        <f t="shared" si="48"/>
        <v>0</v>
      </c>
      <c r="T33" s="80">
        <f t="shared" si="48"/>
        <v>0</v>
      </c>
      <c r="U33" s="80">
        <f t="shared" si="48"/>
        <v>0</v>
      </c>
      <c r="V33" s="80">
        <f t="shared" si="48"/>
        <v>0</v>
      </c>
      <c r="W33" s="80">
        <f t="shared" si="48"/>
        <v>0</v>
      </c>
      <c r="X33" s="80">
        <f t="shared" si="48"/>
        <v>0</v>
      </c>
      <c r="Y33" s="80">
        <f t="shared" si="48"/>
        <v>0</v>
      </c>
      <c r="Z33" s="80">
        <f t="shared" si="48"/>
        <v>0</v>
      </c>
      <c r="AA33" s="80">
        <f t="shared" si="48"/>
        <v>0</v>
      </c>
      <c r="AB33" s="80">
        <f t="shared" si="48"/>
        <v>0</v>
      </c>
      <c r="AC33" s="80">
        <f t="shared" si="48"/>
        <v>0</v>
      </c>
      <c r="AD33" s="80">
        <f t="shared" si="48"/>
        <v>0</v>
      </c>
      <c r="AE33" s="80">
        <f t="shared" si="48"/>
        <v>0</v>
      </c>
      <c r="AF33" s="80">
        <f t="shared" si="48"/>
        <v>0</v>
      </c>
      <c r="AG33" s="80">
        <f t="shared" si="48"/>
        <v>0</v>
      </c>
      <c r="AH33" s="80">
        <f t="shared" si="48"/>
        <v>0</v>
      </c>
      <c r="AI33" s="80">
        <f t="shared" si="48"/>
        <v>0</v>
      </c>
      <c r="AJ33" s="80">
        <f t="shared" si="48"/>
        <v>0</v>
      </c>
      <c r="AK33" s="80">
        <f t="shared" si="48"/>
        <v>0</v>
      </c>
      <c r="AL33" s="80">
        <f t="shared" si="48"/>
        <v>0</v>
      </c>
      <c r="AM33" s="80">
        <f t="shared" si="48"/>
        <v>0</v>
      </c>
      <c r="AN33" s="80">
        <f t="shared" si="48"/>
        <v>0</v>
      </c>
      <c r="AO33" s="80">
        <f t="shared" si="48"/>
        <v>0</v>
      </c>
      <c r="AP33" s="80">
        <f t="shared" si="48"/>
        <v>0</v>
      </c>
      <c r="AQ33" s="80">
        <f t="shared" si="48"/>
        <v>0</v>
      </c>
      <c r="AR33" s="80">
        <f t="shared" si="48"/>
        <v>0</v>
      </c>
      <c r="AS33" s="80">
        <f t="shared" si="48"/>
        <v>0</v>
      </c>
      <c r="AT33" s="80">
        <f t="shared" si="48"/>
        <v>0</v>
      </c>
      <c r="AU33" s="80">
        <f t="shared" si="48"/>
        <v>0</v>
      </c>
      <c r="AV33" s="81">
        <f t="shared" si="48"/>
        <v>0</v>
      </c>
      <c r="AW33" s="81">
        <f t="shared" si="48"/>
        <v>0</v>
      </c>
      <c r="AX33" s="81">
        <f t="shared" si="48"/>
        <v>0</v>
      </c>
      <c r="AY33" s="81">
        <f t="shared" si="48"/>
        <v>0</v>
      </c>
      <c r="AZ33" s="82">
        <f t="shared" si="48"/>
        <v>0</v>
      </c>
      <c r="BA33" s="82">
        <f t="shared" si="48"/>
        <v>0</v>
      </c>
      <c r="BB33" s="82">
        <f t="shared" si="48"/>
        <v>0</v>
      </c>
      <c r="BC33" s="82">
        <f t="shared" si="48"/>
        <v>0</v>
      </c>
      <c r="BD33" s="82" t="e">
        <f t="shared" si="48"/>
        <v>#REF!</v>
      </c>
      <c r="BE33" s="82" t="e">
        <f t="shared" si="48"/>
        <v>#REF!</v>
      </c>
      <c r="BF33" s="82" t="e">
        <f t="shared" si="48"/>
        <v>#REF!</v>
      </c>
      <c r="BG33" s="82" t="e">
        <f t="shared" si="48"/>
        <v>#REF!</v>
      </c>
      <c r="BH33" s="4"/>
      <c r="BI33" s="4"/>
      <c r="BJ33" s="4"/>
      <c r="BK33" s="4"/>
    </row>
    <row r="34" spans="1:63" x14ac:dyDescent="0.2">
      <c r="A34" s="130"/>
      <c r="B34" s="118"/>
      <c r="C34" s="118"/>
      <c r="D34" s="118"/>
      <c r="E34" s="118"/>
      <c r="L34" s="19"/>
      <c r="M34" s="19"/>
      <c r="N34" s="19"/>
      <c r="O34" s="19"/>
      <c r="P34" s="63" t="e">
        <f>P33/B33</f>
        <v>#DIV/0!</v>
      </c>
      <c r="Q34" s="63" t="e">
        <f>Q33/C33</f>
        <v>#DIV/0!</v>
      </c>
      <c r="R34" s="63" t="e">
        <f>R33/D33</f>
        <v>#DIV/0!</v>
      </c>
      <c r="S34" s="63" t="e">
        <f>S33/E33</f>
        <v>#DIV/0!</v>
      </c>
      <c r="T34" s="137" t="e">
        <f>T33/P33</f>
        <v>#DIV/0!</v>
      </c>
      <c r="U34" s="134" t="e">
        <f>U33/Q33</f>
        <v>#DIV/0!</v>
      </c>
      <c r="V34" s="134" t="e">
        <f>V33/R33</f>
        <v>#DIV/0!</v>
      </c>
      <c r="W34" s="134" t="e">
        <f>W33/S33</f>
        <v>#DIV/0!</v>
      </c>
      <c r="X34" s="136" t="e">
        <f>X33/P33</f>
        <v>#DIV/0!</v>
      </c>
      <c r="Y34" s="64" t="e">
        <f>Y33/Q33</f>
        <v>#DIV/0!</v>
      </c>
      <c r="Z34" s="64" t="e">
        <f>Z33/R33</f>
        <v>#DIV/0!</v>
      </c>
      <c r="AA34" s="64" t="e">
        <f>AA33/S33</f>
        <v>#DIV/0!</v>
      </c>
      <c r="AB34" s="136" t="e">
        <f>AB33/P33</f>
        <v>#DIV/0!</v>
      </c>
      <c r="AC34" s="64" t="e">
        <f>AC33/Q33</f>
        <v>#DIV/0!</v>
      </c>
      <c r="AD34" s="64" t="e">
        <f>AD33/R33</f>
        <v>#DIV/0!</v>
      </c>
      <c r="AE34" s="64" t="e">
        <f>AE33/S33</f>
        <v>#DIV/0!</v>
      </c>
      <c r="AF34" s="136" t="e">
        <f>AF33/P33</f>
        <v>#DIV/0!</v>
      </c>
      <c r="AG34" s="136" t="e">
        <f>AG33/Q33</f>
        <v>#DIV/0!</v>
      </c>
      <c r="AH34" s="136" t="e">
        <f>AH33/R33</f>
        <v>#DIV/0!</v>
      </c>
      <c r="AI34" s="136" t="e">
        <f>AI33/S33</f>
        <v>#DIV/0!</v>
      </c>
      <c r="AJ34" s="64" t="e">
        <f>AJ33/P33</f>
        <v>#DIV/0!</v>
      </c>
      <c r="AK34" s="64" t="e">
        <f>AK33/Q33</f>
        <v>#DIV/0!</v>
      </c>
      <c r="AL34" s="64" t="e">
        <f>AL33/R33</f>
        <v>#DIV/0!</v>
      </c>
      <c r="AM34" s="64" t="e">
        <f>AM33/S33</f>
        <v>#DIV/0!</v>
      </c>
      <c r="AN34" s="64" t="e">
        <f>AN33/P33</f>
        <v>#DIV/0!</v>
      </c>
      <c r="AO34" s="64" t="e">
        <f>AO33/Q33</f>
        <v>#DIV/0!</v>
      </c>
      <c r="AP34" s="64" t="e">
        <f>AP33/R33</f>
        <v>#DIV/0!</v>
      </c>
      <c r="AQ34" s="64" t="e">
        <f>AQ33/S33</f>
        <v>#DIV/0!</v>
      </c>
      <c r="AR34" s="64" t="e">
        <f>AR33/P33</f>
        <v>#DIV/0!</v>
      </c>
      <c r="AS34" s="64" t="e">
        <f>AS33/Q33</f>
        <v>#DIV/0!</v>
      </c>
      <c r="AT34" s="64" t="e">
        <f>AT33/R33</f>
        <v>#DIV/0!</v>
      </c>
      <c r="AU34" s="64" t="e">
        <f>AU33/S33</f>
        <v>#DIV/0!</v>
      </c>
      <c r="AV34" s="65" t="e">
        <f>AV33/P33</f>
        <v>#DIV/0!</v>
      </c>
      <c r="AW34" s="65" t="e">
        <f>AW33/Q33</f>
        <v>#DIV/0!</v>
      </c>
      <c r="AX34" s="65" t="e">
        <f>AX33/R33</f>
        <v>#DIV/0!</v>
      </c>
      <c r="AY34" s="65" t="e">
        <f>AY33/S33</f>
        <v>#DIV/0!</v>
      </c>
      <c r="AZ34" s="64" t="e">
        <f>AZ33/P33</f>
        <v>#DIV/0!</v>
      </c>
      <c r="BA34" s="64" t="e">
        <f>BA33/Q33</f>
        <v>#DIV/0!</v>
      </c>
      <c r="BB34" s="64" t="e">
        <f>BB33/R33</f>
        <v>#DIV/0!</v>
      </c>
      <c r="BC34" s="64" t="e">
        <f>BC33/S33</f>
        <v>#DIV/0!</v>
      </c>
      <c r="BD34" s="64" t="e">
        <f>BD33/P33</f>
        <v>#REF!</v>
      </c>
      <c r="BE34" s="64" t="e">
        <f>BE33/Q33</f>
        <v>#REF!</v>
      </c>
      <c r="BF34" s="64" t="e">
        <f>BF33/R33</f>
        <v>#REF!</v>
      </c>
      <c r="BG34" s="64" t="e">
        <f>BG33/S33</f>
        <v>#REF!</v>
      </c>
      <c r="BH34" s="4"/>
    </row>
    <row r="35" spans="1:63" ht="15.75" x14ac:dyDescent="0.25">
      <c r="A35" s="131"/>
      <c r="B35" s="118"/>
      <c r="C35" s="118"/>
      <c r="D35" s="118"/>
      <c r="E35" s="118"/>
      <c r="P35" s="133" t="s">
        <v>68</v>
      </c>
      <c r="Q35" s="211"/>
      <c r="R35" s="211"/>
      <c r="S35" s="211"/>
      <c r="T35" s="21" t="s">
        <v>69</v>
      </c>
      <c r="U35" s="21"/>
      <c r="V35" s="21"/>
      <c r="W35" s="21"/>
      <c r="X35" s="79" t="s">
        <v>70</v>
      </c>
      <c r="Y35" s="79"/>
      <c r="Z35" s="79"/>
      <c r="AA35" s="79"/>
      <c r="AB35" s="135" t="s">
        <v>71</v>
      </c>
      <c r="AC35" s="135"/>
      <c r="AD35" s="135"/>
      <c r="AE35" s="135"/>
      <c r="AF35" s="66" t="e">
        <f t="shared" ref="AF35:AU35" si="49">AF34/1000</f>
        <v>#DIV/0!</v>
      </c>
      <c r="AG35" s="66" t="e">
        <f t="shared" si="49"/>
        <v>#DIV/0!</v>
      </c>
      <c r="AH35" s="66" t="e">
        <f t="shared" si="49"/>
        <v>#DIV/0!</v>
      </c>
      <c r="AI35" s="66" t="e">
        <f t="shared" si="49"/>
        <v>#DIV/0!</v>
      </c>
      <c r="AJ35" s="66" t="e">
        <f t="shared" si="49"/>
        <v>#DIV/0!</v>
      </c>
      <c r="AK35" s="66" t="e">
        <f t="shared" si="49"/>
        <v>#DIV/0!</v>
      </c>
      <c r="AL35" s="66" t="e">
        <f t="shared" si="49"/>
        <v>#DIV/0!</v>
      </c>
      <c r="AM35" s="66" t="e">
        <f t="shared" si="49"/>
        <v>#DIV/0!</v>
      </c>
      <c r="AN35" s="66" t="e">
        <f t="shared" si="49"/>
        <v>#DIV/0!</v>
      </c>
      <c r="AO35" s="66" t="e">
        <f t="shared" si="49"/>
        <v>#DIV/0!</v>
      </c>
      <c r="AP35" s="66" t="e">
        <f t="shared" si="49"/>
        <v>#DIV/0!</v>
      </c>
      <c r="AQ35" s="66" t="e">
        <f t="shared" si="49"/>
        <v>#DIV/0!</v>
      </c>
      <c r="AR35" s="66" t="e">
        <f t="shared" si="49"/>
        <v>#DIV/0!</v>
      </c>
      <c r="AS35" s="66" t="e">
        <f t="shared" si="49"/>
        <v>#DIV/0!</v>
      </c>
      <c r="AT35" s="66" t="e">
        <f t="shared" si="49"/>
        <v>#DIV/0!</v>
      </c>
      <c r="AU35" s="66" t="e">
        <f t="shared" si="49"/>
        <v>#DIV/0!</v>
      </c>
      <c r="AV35" s="22"/>
      <c r="AW35" s="22"/>
      <c r="AX35" s="22"/>
      <c r="AY35" s="22"/>
      <c r="AZ35" s="66" t="e">
        <f>AZ34/1000</f>
        <v>#DIV/0!</v>
      </c>
      <c r="BA35" s="66" t="e">
        <f>BA34/1000</f>
        <v>#DIV/0!</v>
      </c>
      <c r="BB35" s="66" t="e">
        <f>BB34/1000</f>
        <v>#DIV/0!</v>
      </c>
      <c r="BC35" s="66" t="e">
        <f>BC34/1000</f>
        <v>#DIV/0!</v>
      </c>
      <c r="BD35" s="70"/>
    </row>
    <row r="36" spans="1:63" x14ac:dyDescent="0.2">
      <c r="P36" s="211"/>
      <c r="Q36" s="21"/>
      <c r="R36" s="2"/>
      <c r="S36" s="2"/>
      <c r="T36" s="2"/>
      <c r="U36" s="2"/>
      <c r="V36" s="2"/>
      <c r="W36" s="2"/>
      <c r="Y36" s="70"/>
      <c r="Z36" s="70"/>
      <c r="AA36" s="70"/>
    </row>
    <row r="37" spans="1:63" ht="26.25" x14ac:dyDescent="0.4">
      <c r="A37" s="10" t="str">
        <f>A2</f>
        <v>ENDAGARSFODERSTATSKONTROLL</v>
      </c>
      <c r="L37" s="19"/>
      <c r="M37" s="19"/>
      <c r="N37" s="19"/>
      <c r="O37" s="19"/>
      <c r="T37" s="2"/>
      <c r="U37" s="2"/>
      <c r="V37" s="3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63" ht="26.25" x14ac:dyDescent="0.4">
      <c r="A38" s="10"/>
      <c r="L38" s="19"/>
      <c r="M38" s="19"/>
      <c r="N38" s="19"/>
      <c r="O38" s="19"/>
      <c r="R38" s="13"/>
      <c r="S38" s="11" t="s">
        <v>72</v>
      </c>
      <c r="T38" s="11" t="s">
        <v>73</v>
      </c>
      <c r="U38" s="11" t="s">
        <v>74</v>
      </c>
      <c r="V38" s="3"/>
      <c r="W38" s="13" t="s">
        <v>75</v>
      </c>
      <c r="X38" s="44" t="s">
        <v>76</v>
      </c>
      <c r="Y38" s="44" t="s">
        <v>77</v>
      </c>
      <c r="AA38" s="4"/>
      <c r="AB38" s="4"/>
      <c r="AC38" s="4"/>
      <c r="AD38" s="4"/>
    </row>
    <row r="39" spans="1:63" x14ac:dyDescent="0.2">
      <c r="A39" s="1" t="s">
        <v>184</v>
      </c>
      <c r="B39" s="1" t="str">
        <f>B5</f>
        <v>x</v>
      </c>
      <c r="C39" s="1"/>
      <c r="D39" s="1"/>
      <c r="E39" s="1"/>
      <c r="L39" s="5"/>
      <c r="M39" s="5"/>
      <c r="N39" s="5"/>
      <c r="O39" s="5"/>
      <c r="R39" s="2"/>
      <c r="S39" s="21">
        <v>50</v>
      </c>
      <c r="T39" s="21">
        <v>16.100000000000001</v>
      </c>
      <c r="U39" s="11">
        <v>7.5</v>
      </c>
      <c r="V39" s="2"/>
      <c r="W39" s="68" t="s">
        <v>79</v>
      </c>
      <c r="X39" s="67" t="s">
        <v>80</v>
      </c>
      <c r="Y39" s="67" t="s">
        <v>81</v>
      </c>
      <c r="AA39" s="4"/>
      <c r="AB39" s="4"/>
      <c r="AC39" s="4"/>
      <c r="AD39" s="4"/>
    </row>
    <row r="40" spans="1:63" x14ac:dyDescent="0.2">
      <c r="A40" s="1" t="s">
        <v>82</v>
      </c>
      <c r="B40" s="215">
        <f>F4</f>
        <v>40147</v>
      </c>
      <c r="C40" s="1"/>
      <c r="D40" s="1"/>
      <c r="E40" s="1"/>
      <c r="L40" s="5"/>
      <c r="M40" s="5"/>
      <c r="N40" s="5"/>
      <c r="O40" s="5"/>
      <c r="R40" s="67"/>
      <c r="S40" s="21">
        <v>75</v>
      </c>
      <c r="T40" s="21">
        <v>14.6</v>
      </c>
      <c r="U40" s="11">
        <v>7.5</v>
      </c>
      <c r="W40" s="1">
        <v>100</v>
      </c>
      <c r="X40" s="11">
        <v>40</v>
      </c>
      <c r="Y40" s="11">
        <v>18</v>
      </c>
      <c r="Z40" s="69"/>
      <c r="AA40" s="4"/>
      <c r="AB40" s="4"/>
      <c r="AC40" s="4"/>
      <c r="AD40" s="4"/>
    </row>
    <row r="41" spans="1:63" x14ac:dyDescent="0.2">
      <c r="B41" s="129"/>
      <c r="C41" s="1"/>
      <c r="D41" s="1"/>
      <c r="E41" s="1"/>
      <c r="L41" s="5"/>
      <c r="M41" s="5"/>
      <c r="N41" s="5"/>
      <c r="O41" s="5"/>
      <c r="R41" s="11"/>
      <c r="S41" s="21">
        <v>100</v>
      </c>
      <c r="T41" s="21">
        <v>14.6</v>
      </c>
      <c r="U41" s="21">
        <v>7.5</v>
      </c>
      <c r="V41" s="2"/>
      <c r="W41" s="1">
        <v>200</v>
      </c>
      <c r="X41" s="11">
        <v>44</v>
      </c>
      <c r="Y41" s="11">
        <v>21</v>
      </c>
      <c r="Z41" s="69"/>
      <c r="AA41" s="4"/>
      <c r="AB41" s="4"/>
      <c r="AC41" s="4"/>
      <c r="AD41" s="4"/>
    </row>
    <row r="42" spans="1:63" x14ac:dyDescent="0.2">
      <c r="B42" s="1"/>
      <c r="C42" s="1"/>
      <c r="D42" s="1"/>
      <c r="E42" s="1"/>
      <c r="L42" s="5"/>
      <c r="M42" s="5"/>
      <c r="N42" s="5"/>
      <c r="O42" s="5"/>
      <c r="R42" s="11"/>
      <c r="S42" s="21">
        <v>125</v>
      </c>
      <c r="T42" s="21">
        <v>13.1</v>
      </c>
      <c r="U42" s="21">
        <v>7.25</v>
      </c>
      <c r="V42" s="2"/>
      <c r="W42" s="2">
        <v>300</v>
      </c>
      <c r="X42" s="21">
        <v>46</v>
      </c>
      <c r="Y42" s="21">
        <v>25</v>
      </c>
      <c r="Z42" s="69"/>
      <c r="AA42" s="4"/>
      <c r="AB42" s="4"/>
      <c r="AC42" s="4"/>
      <c r="AD42" s="4"/>
    </row>
    <row r="43" spans="1:63" x14ac:dyDescent="0.2">
      <c r="B43" s="91" t="s">
        <v>192</v>
      </c>
      <c r="C43" s="44" t="s">
        <v>193</v>
      </c>
      <c r="D43" s="91" t="s">
        <v>194</v>
      </c>
      <c r="E43" s="44" t="s">
        <v>195</v>
      </c>
      <c r="F43" s="252" t="s">
        <v>83</v>
      </c>
      <c r="G43" s="221"/>
      <c r="H43" s="221"/>
      <c r="I43" s="221"/>
      <c r="J43" s="221"/>
      <c r="K43" s="91" t="s">
        <v>192</v>
      </c>
      <c r="L43" s="44" t="s">
        <v>193</v>
      </c>
      <c r="M43" s="91" t="s">
        <v>194</v>
      </c>
      <c r="N43" s="44" t="s">
        <v>195</v>
      </c>
      <c r="O43" s="252" t="s">
        <v>83</v>
      </c>
      <c r="R43" s="11"/>
      <c r="S43" s="21">
        <v>150</v>
      </c>
      <c r="T43" s="21">
        <v>13.1</v>
      </c>
      <c r="U43" s="21">
        <v>7.25</v>
      </c>
      <c r="V43" s="2"/>
      <c r="W43" s="2">
        <v>400</v>
      </c>
      <c r="X43" s="21">
        <v>51</v>
      </c>
      <c r="Y43" s="21">
        <v>32</v>
      </c>
      <c r="Z43" s="69"/>
      <c r="AA43" s="4"/>
      <c r="AB43" s="4"/>
      <c r="AC43" s="4"/>
      <c r="AD43" s="4"/>
    </row>
    <row r="44" spans="1:63" ht="15.75" x14ac:dyDescent="0.25">
      <c r="A44" s="229" t="s">
        <v>84</v>
      </c>
      <c r="B44" s="51"/>
      <c r="C44" s="11"/>
      <c r="D44" s="11"/>
      <c r="E44" s="11"/>
      <c r="F44" s="38"/>
      <c r="H44" s="253" t="s">
        <v>85</v>
      </c>
      <c r="M44" s="112"/>
      <c r="N44" s="112"/>
      <c r="R44" s="11"/>
      <c r="S44" s="21">
        <v>175</v>
      </c>
      <c r="T44" s="21">
        <v>12.4</v>
      </c>
      <c r="U44" s="21">
        <v>7</v>
      </c>
      <c r="V44" s="2"/>
      <c r="W44" s="2">
        <v>500</v>
      </c>
      <c r="X44" s="21">
        <v>54</v>
      </c>
      <c r="Y44" s="21">
        <v>37</v>
      </c>
      <c r="Z44" s="69"/>
      <c r="AA44" s="4"/>
      <c r="AB44" s="4"/>
      <c r="AC44" s="4"/>
      <c r="AD44" s="4"/>
    </row>
    <row r="45" spans="1:63" x14ac:dyDescent="0.2">
      <c r="A45" s="1" t="s">
        <v>229</v>
      </c>
      <c r="B45" s="118">
        <f>P33/B10</f>
        <v>0</v>
      </c>
      <c r="C45" s="118">
        <f>Q33/C10</f>
        <v>0</v>
      </c>
      <c r="D45" s="118">
        <f>R33/D10</f>
        <v>0</v>
      </c>
      <c r="E45" s="118">
        <f>S33/E10</f>
        <v>0</v>
      </c>
      <c r="F45" s="143"/>
      <c r="G45" s="15"/>
      <c r="H45" s="15" t="s">
        <v>87</v>
      </c>
      <c r="K45" s="117" t="e">
        <f>AN33/AR33</f>
        <v>#DIV/0!</v>
      </c>
      <c r="L45" s="117" t="e">
        <f>AO33/AS33</f>
        <v>#DIV/0!</v>
      </c>
      <c r="M45" s="117" t="e">
        <f>AP33/AT33</f>
        <v>#DIV/0!</v>
      </c>
      <c r="N45" s="117" t="e">
        <f>AQ33/AU33</f>
        <v>#DIV/0!</v>
      </c>
      <c r="O45" s="256" t="s">
        <v>199</v>
      </c>
      <c r="R45" s="2"/>
      <c r="S45" s="21">
        <v>200</v>
      </c>
      <c r="T45" s="21">
        <v>12.4</v>
      </c>
      <c r="U45" s="21">
        <v>7</v>
      </c>
      <c r="V45" s="4"/>
      <c r="W45" s="2">
        <v>600</v>
      </c>
      <c r="X45" s="21">
        <v>57</v>
      </c>
      <c r="Y45" s="21">
        <v>38</v>
      </c>
      <c r="Z45" s="2"/>
    </row>
    <row r="46" spans="1:63" x14ac:dyDescent="0.2">
      <c r="A46" s="1" t="s">
        <v>88</v>
      </c>
      <c r="B46" s="120">
        <f>B45/B11</f>
        <v>0</v>
      </c>
      <c r="C46" s="120">
        <f>C45/C11</f>
        <v>0</v>
      </c>
      <c r="D46" s="120">
        <f>D45/D11</f>
        <v>0</v>
      </c>
      <c r="E46" s="120">
        <f>E45/E11</f>
        <v>0</v>
      </c>
      <c r="F46" s="144" t="s">
        <v>89</v>
      </c>
      <c r="G46" s="15"/>
      <c r="H46" s="119" t="s">
        <v>90</v>
      </c>
      <c r="K46" s="5">
        <f>AN33/B10-V16</f>
        <v>-54</v>
      </c>
      <c r="L46" s="5">
        <f>AO33/C10-V17</f>
        <v>-51</v>
      </c>
      <c r="M46" s="5">
        <f>AP33/D10-W18</f>
        <v>-25</v>
      </c>
      <c r="N46" s="5">
        <f>AQ33/E10-V19</f>
        <v>-46</v>
      </c>
      <c r="O46" s="257" t="s">
        <v>200</v>
      </c>
      <c r="P46" s="25"/>
      <c r="Q46" s="21"/>
      <c r="R46" s="2"/>
      <c r="S46" s="21">
        <v>225</v>
      </c>
      <c r="T46" s="21">
        <v>11.6</v>
      </c>
      <c r="U46" s="21">
        <v>6.75</v>
      </c>
      <c r="V46" s="4"/>
      <c r="W46" s="21">
        <v>700</v>
      </c>
      <c r="X46" s="21">
        <v>60</v>
      </c>
      <c r="Y46" s="21">
        <v>40</v>
      </c>
      <c r="Z46" s="2"/>
    </row>
    <row r="47" spans="1:63" x14ac:dyDescent="0.2">
      <c r="A47" s="5" t="s">
        <v>230</v>
      </c>
      <c r="B47" s="118">
        <f>T33/B10</f>
        <v>0</v>
      </c>
      <c r="C47" s="118">
        <f>U33/C10</f>
        <v>0</v>
      </c>
      <c r="D47" s="118">
        <f>V33/D10</f>
        <v>0</v>
      </c>
      <c r="E47" s="118">
        <f>W33/E10</f>
        <v>0</v>
      </c>
      <c r="F47" s="145"/>
      <c r="G47" s="15"/>
      <c r="H47" s="119" t="s">
        <v>92</v>
      </c>
      <c r="K47" s="5">
        <f>AR33/B10-W16</f>
        <v>-37</v>
      </c>
      <c r="L47" s="5">
        <f>AS33/C10-W17</f>
        <v>-32</v>
      </c>
      <c r="M47" s="5">
        <f>AT33/D10-W18</f>
        <v>-25</v>
      </c>
      <c r="N47" s="5">
        <f>AU33/E10-W19</f>
        <v>-25</v>
      </c>
      <c r="O47" s="257" t="s">
        <v>200</v>
      </c>
      <c r="Q47" s="21"/>
      <c r="R47" s="24"/>
      <c r="S47" s="21">
        <v>250</v>
      </c>
      <c r="T47" s="21">
        <v>11.6</v>
      </c>
      <c r="U47" s="21">
        <v>6.75</v>
      </c>
      <c r="V47" s="4"/>
      <c r="W47" s="2"/>
      <c r="X47" s="2"/>
      <c r="Y47" s="2"/>
      <c r="Z47" s="2"/>
    </row>
    <row r="48" spans="1:63" x14ac:dyDescent="0.2">
      <c r="A48" s="5" t="s">
        <v>231</v>
      </c>
      <c r="B48" s="118">
        <f>B45-B47</f>
        <v>0</v>
      </c>
      <c r="C48" s="118">
        <f>C45-C47</f>
        <v>0</v>
      </c>
      <c r="D48" s="118">
        <f>D45-D47</f>
        <v>0</v>
      </c>
      <c r="E48" s="118">
        <f>E45-E47</f>
        <v>0</v>
      </c>
      <c r="F48" s="144"/>
      <c r="G48" s="15"/>
      <c r="H48" s="15" t="s">
        <v>94</v>
      </c>
      <c r="K48" s="139" t="e">
        <f>AN33/P33/1000</f>
        <v>#DIV/0!</v>
      </c>
      <c r="L48" s="139" t="e">
        <f>AO33/Q33/1000</f>
        <v>#DIV/0!</v>
      </c>
      <c r="M48" s="139" t="e">
        <f>AP33/R33/1000</f>
        <v>#DIV/0!</v>
      </c>
      <c r="N48" s="139" t="e">
        <f>AQ33/S33/1000</f>
        <v>#DIV/0!</v>
      </c>
      <c r="O48" s="150"/>
      <c r="Q48" s="21"/>
      <c r="R48" s="23"/>
      <c r="S48" s="21">
        <v>275</v>
      </c>
      <c r="T48" s="21">
        <v>11.2</v>
      </c>
      <c r="U48" s="21">
        <v>6.5</v>
      </c>
      <c r="V48" s="4"/>
      <c r="W48" s="2"/>
      <c r="X48" s="2"/>
      <c r="Y48" s="2"/>
      <c r="Z48" s="2"/>
    </row>
    <row r="49" spans="1:26" x14ac:dyDescent="0.2">
      <c r="A49" s="5" t="s">
        <v>95</v>
      </c>
      <c r="B49" s="121" t="e">
        <f>B47/B45</f>
        <v>#DIV/0!</v>
      </c>
      <c r="C49" s="121" t="e">
        <f>C47/C45</f>
        <v>#DIV/0!</v>
      </c>
      <c r="D49" s="121" t="e">
        <f>D47/D45</f>
        <v>#DIV/0!</v>
      </c>
      <c r="E49" s="121" t="e">
        <f>E47/E45</f>
        <v>#DIV/0!</v>
      </c>
      <c r="F49" s="144" t="s">
        <v>96</v>
      </c>
      <c r="G49" s="15"/>
      <c r="H49" s="15" t="s">
        <v>97</v>
      </c>
      <c r="I49" s="15"/>
      <c r="J49" s="15"/>
      <c r="K49" s="139" t="e">
        <f>AR33/P33/1000</f>
        <v>#DIV/0!</v>
      </c>
      <c r="L49" s="139" t="e">
        <f>AS33/Q33/1000</f>
        <v>#DIV/0!</v>
      </c>
      <c r="M49" s="139" t="e">
        <f>AT33/R33/1000</f>
        <v>#DIV/0!</v>
      </c>
      <c r="N49" s="139" t="e">
        <f>AU33/S33/1000</f>
        <v>#DIV/0!</v>
      </c>
      <c r="O49" s="150"/>
      <c r="Q49" s="21"/>
      <c r="R49" s="24"/>
      <c r="S49" s="21">
        <v>300</v>
      </c>
      <c r="T49" s="21">
        <v>11.2</v>
      </c>
      <c r="U49" s="21">
        <v>6.5</v>
      </c>
      <c r="V49" s="4"/>
      <c r="W49" s="2"/>
      <c r="X49" s="2"/>
      <c r="Y49" s="2"/>
      <c r="Z49" s="2"/>
    </row>
    <row r="50" spans="1:26" x14ac:dyDescent="0.2">
      <c r="A50" s="5" t="s">
        <v>99</v>
      </c>
      <c r="B50" s="106">
        <f>B48/B12</f>
        <v>0</v>
      </c>
      <c r="C50" s="106">
        <f>C48/C12</f>
        <v>0</v>
      </c>
      <c r="D50" s="106">
        <f>D48/D12</f>
        <v>0</v>
      </c>
      <c r="E50" s="106">
        <f>E48/E12</f>
        <v>0</v>
      </c>
      <c r="F50" s="146"/>
      <c r="G50" s="15"/>
      <c r="O50" s="151"/>
      <c r="Q50" s="21"/>
      <c r="R50" s="23"/>
      <c r="S50" s="21">
        <v>325</v>
      </c>
      <c r="T50" s="21">
        <v>11.1</v>
      </c>
      <c r="U50" s="21">
        <v>6.5</v>
      </c>
      <c r="V50" s="4"/>
      <c r="W50" s="2"/>
      <c r="X50" s="2"/>
      <c r="Y50" s="2"/>
      <c r="Z50" s="2"/>
    </row>
    <row r="51" spans="1:26" x14ac:dyDescent="0.2">
      <c r="B51" s="115"/>
      <c r="C51" s="120"/>
      <c r="D51" s="115"/>
      <c r="E51" s="113"/>
      <c r="F51" s="146"/>
      <c r="G51" s="15"/>
      <c r="O51" s="150"/>
      <c r="Q51" s="21"/>
      <c r="R51" s="2"/>
      <c r="S51" s="21">
        <v>350</v>
      </c>
      <c r="T51" s="21">
        <v>11.1</v>
      </c>
      <c r="U51" s="21">
        <v>6.5</v>
      </c>
      <c r="V51" s="4"/>
      <c r="W51" s="2"/>
      <c r="X51" s="2"/>
      <c r="Y51" s="2"/>
      <c r="Z51" s="2"/>
    </row>
    <row r="52" spans="1:26" ht="15.75" x14ac:dyDescent="0.25">
      <c r="A52" s="116" t="s">
        <v>186</v>
      </c>
      <c r="B52" s="115">
        <f>X33/B10/B12</f>
        <v>0</v>
      </c>
      <c r="C52" s="115">
        <f>Y33/C10/C12</f>
        <v>0</v>
      </c>
      <c r="D52" s="115">
        <f>Z33/D10/D12</f>
        <v>0</v>
      </c>
      <c r="E52" s="115">
        <f>AA33/E10/E12</f>
        <v>0</v>
      </c>
      <c r="F52" s="147"/>
      <c r="G52" s="15"/>
      <c r="H52" s="213" t="s">
        <v>101</v>
      </c>
      <c r="O52" s="151"/>
      <c r="Q52" s="21"/>
      <c r="R52" s="2"/>
      <c r="S52" s="21">
        <v>375</v>
      </c>
      <c r="T52" s="21">
        <v>10.8</v>
      </c>
      <c r="U52" s="21">
        <v>6.5</v>
      </c>
      <c r="V52" s="2"/>
      <c r="W52" s="2"/>
      <c r="X52" s="2"/>
      <c r="Y52" s="2"/>
      <c r="Z52" s="2"/>
    </row>
    <row r="53" spans="1:26" x14ac:dyDescent="0.2">
      <c r="A53" s="15" t="s">
        <v>102</v>
      </c>
      <c r="B53" s="120" t="e">
        <f>AF35</f>
        <v>#DIV/0!</v>
      </c>
      <c r="C53" s="120" t="e">
        <f>AG35</f>
        <v>#DIV/0!</v>
      </c>
      <c r="D53" s="120" t="e">
        <f>AH35</f>
        <v>#DIV/0!</v>
      </c>
      <c r="E53" s="120" t="e">
        <f>AI35</f>
        <v>#DIV/0!</v>
      </c>
      <c r="F53" s="148" t="s">
        <v>103</v>
      </c>
      <c r="G53" s="15"/>
      <c r="H53" s="126" t="s">
        <v>104</v>
      </c>
      <c r="K53" s="142" t="e">
        <f>AV33/P33</f>
        <v>#DIV/0!</v>
      </c>
      <c r="L53" s="142" t="e">
        <f>AW33/Q33</f>
        <v>#DIV/0!</v>
      </c>
      <c r="M53" s="142" t="e">
        <f>AX33/R33</f>
        <v>#DIV/0!</v>
      </c>
      <c r="N53" s="142" t="e">
        <f>AY33/S33</f>
        <v>#DIV/0!</v>
      </c>
      <c r="O53" s="153"/>
      <c r="Q53" s="21"/>
      <c r="R53" s="2"/>
      <c r="S53" s="21">
        <v>400</v>
      </c>
      <c r="T53" s="21">
        <v>10.8</v>
      </c>
      <c r="U53" s="21">
        <v>6.5</v>
      </c>
      <c r="V53" s="2"/>
      <c r="W53" s="2"/>
      <c r="X53" s="2"/>
      <c r="Y53" s="2"/>
      <c r="Z53" s="2"/>
    </row>
    <row r="54" spans="1:26" x14ac:dyDescent="0.2">
      <c r="A54" s="1" t="s">
        <v>105</v>
      </c>
      <c r="B54" s="118" t="e">
        <f>AF33/X33</f>
        <v>#DIV/0!</v>
      </c>
      <c r="C54" s="118" t="e">
        <f>AG33/Y33</f>
        <v>#DIV/0!</v>
      </c>
      <c r="D54" s="118" t="e">
        <f>AH33/Z33</f>
        <v>#DIV/0!</v>
      </c>
      <c r="E54" s="118" t="e">
        <f>AI33/AA33</f>
        <v>#DIV/0!</v>
      </c>
      <c r="F54" s="149" t="s">
        <v>106</v>
      </c>
      <c r="G54" s="15"/>
      <c r="H54" s="126" t="s">
        <v>201</v>
      </c>
      <c r="K54" s="142">
        <f>AV33/B10</f>
        <v>0</v>
      </c>
      <c r="L54" s="142">
        <f>AW33/C10</f>
        <v>0</v>
      </c>
      <c r="M54" s="142">
        <f>AX33/D10</f>
        <v>0</v>
      </c>
      <c r="N54" s="142">
        <f>AY33/E10</f>
        <v>0</v>
      </c>
      <c r="O54" s="153"/>
      <c r="Q54" s="21"/>
      <c r="R54" s="2"/>
      <c r="S54" s="21">
        <v>425</v>
      </c>
      <c r="T54" s="21">
        <v>10.6</v>
      </c>
      <c r="U54" s="21">
        <v>6.5</v>
      </c>
      <c r="V54" s="2"/>
      <c r="W54" s="2"/>
      <c r="X54" s="2"/>
      <c r="Y54" s="2"/>
      <c r="Z54" s="2"/>
    </row>
    <row r="55" spans="1:26" x14ac:dyDescent="0.2">
      <c r="A55" s="116" t="s">
        <v>108</v>
      </c>
      <c r="B55" s="118" t="e">
        <f>AB33/X33</f>
        <v>#DIV/0!</v>
      </c>
      <c r="C55" s="118" t="e">
        <f>AC33/Y33</f>
        <v>#DIV/0!</v>
      </c>
      <c r="D55" s="118" t="e">
        <f>AD33/Z33</f>
        <v>#DIV/0!</v>
      </c>
      <c r="E55" s="118" t="e">
        <f>AE33/AA33</f>
        <v>#DIV/0!</v>
      </c>
      <c r="F55" s="149" t="s">
        <v>109</v>
      </c>
      <c r="G55" s="15"/>
      <c r="H55" s="126" t="s">
        <v>110</v>
      </c>
      <c r="K55" s="142">
        <f>K54/B12</f>
        <v>0</v>
      </c>
      <c r="L55" s="142">
        <f>L54/C12</f>
        <v>0</v>
      </c>
      <c r="M55" s="142">
        <f>M54/D12</f>
        <v>0</v>
      </c>
      <c r="N55" s="142">
        <f>N54/E12</f>
        <v>0</v>
      </c>
      <c r="O55" s="153"/>
      <c r="Q55" s="21"/>
      <c r="R55" s="2"/>
      <c r="S55" s="21">
        <v>450</v>
      </c>
      <c r="T55" s="21">
        <v>10.6</v>
      </c>
      <c r="U55" s="21">
        <v>6.5</v>
      </c>
      <c r="V55" s="2"/>
      <c r="W55" s="2"/>
      <c r="X55" s="2"/>
      <c r="Y55" s="2"/>
      <c r="Z55" s="2"/>
    </row>
    <row r="56" spans="1:26" x14ac:dyDescent="0.2">
      <c r="A56" s="15" t="s">
        <v>111</v>
      </c>
      <c r="B56" s="121" t="e">
        <f>AJ35</f>
        <v>#DIV/0!</v>
      </c>
      <c r="C56" s="121" t="e">
        <f>AK35</f>
        <v>#DIV/0!</v>
      </c>
      <c r="D56" s="121" t="e">
        <f>AL35</f>
        <v>#DIV/0!</v>
      </c>
      <c r="E56" s="121" t="e">
        <f>AM35</f>
        <v>#DIV/0!</v>
      </c>
      <c r="F56" s="150" t="s">
        <v>96</v>
      </c>
      <c r="G56" s="15"/>
      <c r="O56" s="153"/>
      <c r="Q56" s="21"/>
      <c r="R56" s="2"/>
      <c r="S56" s="21">
        <v>475</v>
      </c>
      <c r="T56" s="21">
        <v>10.4</v>
      </c>
      <c r="U56" s="21">
        <v>6.5</v>
      </c>
      <c r="V56" s="2"/>
      <c r="W56" s="2"/>
      <c r="X56" s="2"/>
      <c r="Y56" s="2"/>
      <c r="Z56" s="2"/>
    </row>
    <row r="57" spans="1:26" x14ac:dyDescent="0.2">
      <c r="A57" s="1" t="s">
        <v>112</v>
      </c>
      <c r="B57" s="120">
        <f>AJ33/B10/B11/1000</f>
        <v>0</v>
      </c>
      <c r="C57" s="120">
        <f>AK33/C10/C11/1000</f>
        <v>0</v>
      </c>
      <c r="D57" s="120">
        <f>AL33/D10/D11/1000</f>
        <v>0</v>
      </c>
      <c r="E57" s="120">
        <f>AM33/E10/E11/1000</f>
        <v>0</v>
      </c>
      <c r="F57" s="150"/>
      <c r="G57" s="15"/>
      <c r="O57" s="153"/>
      <c r="Q57" s="21"/>
      <c r="R57" s="2"/>
      <c r="S57" s="21">
        <v>500</v>
      </c>
      <c r="T57" s="21">
        <v>10.4</v>
      </c>
      <c r="U57" s="21">
        <v>6.5</v>
      </c>
      <c r="V57" s="2"/>
      <c r="W57" s="2"/>
      <c r="X57" s="2"/>
      <c r="Y57" s="2"/>
      <c r="Z57" s="2"/>
    </row>
    <row r="58" spans="1:26" ht="15.75" x14ac:dyDescent="0.25">
      <c r="A58" s="5" t="s">
        <v>187</v>
      </c>
      <c r="B58" s="141" t="e">
        <f>X33/P33</f>
        <v>#DIV/0!</v>
      </c>
      <c r="C58" s="141" t="e">
        <f>Y33/Q33</f>
        <v>#DIV/0!</v>
      </c>
      <c r="D58" s="141" t="e">
        <f>Z33/R33</f>
        <v>#DIV/0!</v>
      </c>
      <c r="E58" s="141" t="e">
        <f>AA33/S33</f>
        <v>#DIV/0!</v>
      </c>
      <c r="F58" s="150"/>
      <c r="G58" s="15"/>
      <c r="H58" s="105" t="s">
        <v>114</v>
      </c>
      <c r="I58" s="15"/>
      <c r="J58" s="113"/>
      <c r="K58" s="113"/>
      <c r="L58" s="113"/>
      <c r="M58" s="15"/>
      <c r="N58" s="112"/>
      <c r="O58" s="153"/>
      <c r="Q58" s="21"/>
      <c r="R58" s="2"/>
      <c r="S58" s="21">
        <v>525</v>
      </c>
      <c r="T58" s="21">
        <v>10.1</v>
      </c>
      <c r="U58" s="21">
        <v>6.5</v>
      </c>
      <c r="V58" s="2"/>
      <c r="W58" s="2"/>
      <c r="X58" s="2"/>
      <c r="Y58" s="2"/>
      <c r="Z58" s="2"/>
    </row>
    <row r="59" spans="1:26" x14ac:dyDescent="0.2">
      <c r="F59" s="151"/>
      <c r="G59" s="15"/>
      <c r="H59" s="15" t="s">
        <v>115</v>
      </c>
      <c r="I59" s="15"/>
      <c r="J59" s="15"/>
      <c r="K59" s="254" t="e">
        <f>((B13-B11)*0.0256)/(AF33/1000/6.25/B10*B14)</f>
        <v>#DIV/0!</v>
      </c>
      <c r="L59" s="254" t="e">
        <f>((C13-C11)*0.0256)/(AG33/1000/6.25/C10*C14)</f>
        <v>#DIV/0!</v>
      </c>
      <c r="M59" s="254" t="e">
        <f>((D13-D11)*0.0256)/(AH33/1000/6.25/D10*D14)</f>
        <v>#DIV/0!</v>
      </c>
      <c r="N59" s="254" t="e">
        <f>((E13-E11)*0.0256)/(AI33/1000/6.25/E10*E14)</f>
        <v>#DIV/0!</v>
      </c>
      <c r="O59" s="255" t="s">
        <v>116</v>
      </c>
      <c r="Q59" s="44"/>
      <c r="S59" s="21">
        <v>550</v>
      </c>
      <c r="T59" s="21">
        <v>10.1</v>
      </c>
      <c r="U59" s="21">
        <v>6.5</v>
      </c>
      <c r="V59" s="2"/>
      <c r="W59" s="2"/>
      <c r="X59" s="2"/>
      <c r="Y59" s="2"/>
      <c r="Z59" s="2"/>
    </row>
    <row r="60" spans="1:26" x14ac:dyDescent="0.2">
      <c r="F60" s="150"/>
      <c r="G60" s="15"/>
      <c r="H60" s="1" t="s">
        <v>117</v>
      </c>
      <c r="K60" s="46" t="e">
        <f>AZ35</f>
        <v>#DIV/0!</v>
      </c>
      <c r="L60" s="46" t="e">
        <f>BA35</f>
        <v>#DIV/0!</v>
      </c>
      <c r="M60" s="46" t="e">
        <f>BB35</f>
        <v>#DIV/0!</v>
      </c>
      <c r="N60" s="46" t="e">
        <f>BC35</f>
        <v>#DIV/0!</v>
      </c>
      <c r="O60" s="153"/>
      <c r="Q60" s="44"/>
      <c r="S60" s="21">
        <v>575</v>
      </c>
      <c r="T60" s="21">
        <v>10.1</v>
      </c>
      <c r="U60" s="21">
        <v>6.5</v>
      </c>
      <c r="V60" s="2"/>
      <c r="W60" s="2"/>
      <c r="X60" s="2"/>
      <c r="Y60" s="2"/>
      <c r="Z60" s="2"/>
    </row>
    <row r="61" spans="1:26" ht="15.75" x14ac:dyDescent="0.25">
      <c r="A61" s="233" t="s">
        <v>118</v>
      </c>
      <c r="B61" s="39"/>
      <c r="C61" s="39"/>
      <c r="D61" s="72"/>
      <c r="E61" s="45"/>
      <c r="F61" s="151"/>
      <c r="G61" s="15"/>
      <c r="M61" s="113"/>
      <c r="N61" s="112"/>
      <c r="O61" s="156"/>
      <c r="Q61" s="67"/>
      <c r="S61" s="21">
        <v>600</v>
      </c>
      <c r="T61" s="21">
        <v>10.1</v>
      </c>
      <c r="U61" s="21">
        <v>6.5</v>
      </c>
      <c r="V61" s="2"/>
      <c r="W61" s="2"/>
      <c r="X61" s="2"/>
      <c r="Y61" s="2"/>
      <c r="Z61" s="2"/>
    </row>
    <row r="62" spans="1:26" x14ac:dyDescent="0.2">
      <c r="A62" s="39" t="s">
        <v>190</v>
      </c>
      <c r="B62" s="138">
        <f>X33/B10/S16</f>
        <v>0</v>
      </c>
      <c r="C62" s="138">
        <f>Y33/C10/S17</f>
        <v>0</v>
      </c>
      <c r="D62" s="138">
        <f>Z33/D10/S18</f>
        <v>0</v>
      </c>
      <c r="E62" s="138">
        <f>AA33/E10/S19</f>
        <v>0</v>
      </c>
      <c r="F62" s="152">
        <v>1</v>
      </c>
      <c r="G62" s="15"/>
      <c r="L62" s="113"/>
      <c r="M62" s="113"/>
      <c r="N62" s="15"/>
      <c r="O62" s="153"/>
      <c r="S62" s="21">
        <v>625</v>
      </c>
      <c r="T62" s="21">
        <v>10.1</v>
      </c>
      <c r="U62" s="21">
        <v>6.5</v>
      </c>
      <c r="V62" s="2"/>
      <c r="W62" s="2"/>
      <c r="X62" s="2"/>
      <c r="Y62" s="2"/>
      <c r="Z62" s="2"/>
    </row>
    <row r="63" spans="1:26" ht="15.75" x14ac:dyDescent="0.25">
      <c r="A63" s="1" t="s">
        <v>8</v>
      </c>
      <c r="B63" s="40">
        <f>AF33/B10/T16</f>
        <v>0</v>
      </c>
      <c r="C63" s="40">
        <f>AG33/C10/T17</f>
        <v>0</v>
      </c>
      <c r="D63" s="40">
        <f>AH33/D10/T18</f>
        <v>0</v>
      </c>
      <c r="E63" s="40">
        <f>AI33/E10/T19</f>
        <v>0</v>
      </c>
      <c r="F63" s="152">
        <v>1</v>
      </c>
      <c r="G63" s="15"/>
      <c r="H63" s="105" t="s">
        <v>188</v>
      </c>
      <c r="O63" s="153"/>
      <c r="T63" s="2"/>
      <c r="U63" s="2"/>
      <c r="V63" s="2"/>
      <c r="W63" s="2"/>
      <c r="X63" s="2"/>
      <c r="Y63" s="2"/>
      <c r="Z63" s="2"/>
    </row>
    <row r="64" spans="1:26" x14ac:dyDescent="0.2">
      <c r="A64" s="39" t="s">
        <v>121</v>
      </c>
      <c r="B64" s="119">
        <f>AB33/B10/U16</f>
        <v>0</v>
      </c>
      <c r="C64" s="119">
        <f>AC33/C10/U17</f>
        <v>0</v>
      </c>
      <c r="D64" s="119">
        <f>AD33/D10/U18</f>
        <v>0</v>
      </c>
      <c r="E64" s="119">
        <f>AE33/E10/U19</f>
        <v>0</v>
      </c>
      <c r="F64" s="152">
        <v>1</v>
      </c>
      <c r="G64" s="15"/>
      <c r="H64" s="15" t="s">
        <v>189</v>
      </c>
      <c r="K64" s="40" t="e">
        <f>B10*AE19/AR33</f>
        <v>#DIV/0!</v>
      </c>
      <c r="L64" s="40" t="e">
        <f>C10*AF19/AS33</f>
        <v>#DIV/0!</v>
      </c>
      <c r="M64" s="40" t="e">
        <f>D10*AG19/AT33</f>
        <v>#DIV/0!</v>
      </c>
      <c r="N64" s="40" t="e">
        <f>E10*AH19/AU33</f>
        <v>#DIV/0!</v>
      </c>
      <c r="O64" s="156"/>
      <c r="T64" s="2"/>
      <c r="U64" s="2"/>
      <c r="V64" s="2"/>
      <c r="W64" s="2"/>
      <c r="X64" s="2"/>
      <c r="Y64" s="2"/>
      <c r="Z64" s="2"/>
    </row>
    <row r="65" spans="1:26" x14ac:dyDescent="0.2">
      <c r="F65" s="153"/>
      <c r="G65" s="15"/>
      <c r="O65" s="155"/>
      <c r="T65" s="2"/>
      <c r="U65" s="2"/>
      <c r="V65" s="2"/>
      <c r="W65" s="2"/>
      <c r="X65" s="2"/>
      <c r="Y65" s="2"/>
      <c r="Z65" s="2"/>
    </row>
    <row r="66" spans="1:26" x14ac:dyDescent="0.2">
      <c r="F66" s="153"/>
      <c r="G66" s="15"/>
      <c r="H66" s="15"/>
      <c r="I66" s="15"/>
      <c r="J66" s="15"/>
      <c r="K66" s="15"/>
      <c r="L66" s="113"/>
      <c r="M66" s="15"/>
      <c r="N66" s="113"/>
      <c r="O66" s="153"/>
      <c r="Q66" s="21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x14ac:dyDescent="0.25">
      <c r="A67" s="229" t="s">
        <v>124</v>
      </c>
      <c r="F67" s="153"/>
      <c r="G67" s="15"/>
      <c r="O67" s="155"/>
      <c r="Q67" s="21"/>
      <c r="R67" s="2"/>
      <c r="V67" s="2"/>
      <c r="W67" s="2"/>
      <c r="X67" s="2"/>
      <c r="Y67" s="2"/>
      <c r="Z67" s="2"/>
    </row>
    <row r="68" spans="1:26" x14ac:dyDescent="0.2">
      <c r="A68" s="1" t="s">
        <v>191</v>
      </c>
      <c r="B68" s="5">
        <f>X33/B10-S6</f>
        <v>-45.202621512084121</v>
      </c>
      <c r="C68" s="5">
        <f>Y33/C10-S7</f>
        <v>-39.661860881380484</v>
      </c>
      <c r="D68" s="5">
        <f>Z33/D10-S8</f>
        <v>-34.592914410111625</v>
      </c>
      <c r="E68" s="5">
        <f>AA33/E10-S9</f>
        <v>-36.793729952583689</v>
      </c>
      <c r="F68" s="153"/>
      <c r="G68" s="15"/>
      <c r="O68" s="155"/>
      <c r="Q68" s="21"/>
      <c r="R68" s="2"/>
      <c r="V68" s="2"/>
      <c r="W68" s="2"/>
      <c r="X68" s="2"/>
      <c r="Y68" s="2"/>
      <c r="Z68" s="2"/>
    </row>
    <row r="69" spans="1:26" x14ac:dyDescent="0.2">
      <c r="A69" s="1" t="s">
        <v>126</v>
      </c>
      <c r="B69" s="69">
        <f>((0.522*B68)/(6.28+0.0188*B11))/(1+(((0.522*B68)/(6.28+0.0188*B11))*0.3))/0.9</f>
        <v>-3.0480989538545211</v>
      </c>
      <c r="C69" s="69">
        <f>((0.522*C68)/(6.28+0.0188*C11))/(1+(((0.522*C68)/(6.28+0.0188*C11))*0.3))/0.9</f>
        <v>-2.888137633324328</v>
      </c>
      <c r="D69" s="69">
        <f>((0.522*D68)/(6.28+0.0188*D11))/(1+(((0.522*D68)/(6.28+0.0188*D11))*0.3))/0.9</f>
        <v>-2.6957631825693085</v>
      </c>
      <c r="E69" s="69">
        <f>((0.522*E68)/(6.28+0.0188*E11))/(1+(((0.522*E68)/(6.28+0.0188*E11))*0.3))/0.9</f>
        <v>-2.7851839717702997</v>
      </c>
      <c r="F69" s="154"/>
      <c r="I69" s="15"/>
      <c r="J69" s="15"/>
      <c r="K69" s="15"/>
      <c r="L69" s="113"/>
      <c r="M69" s="15"/>
      <c r="N69" s="113"/>
      <c r="Q69" s="21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1" t="s">
        <v>127</v>
      </c>
      <c r="B70" s="215">
        <f>F4+((B13-B11)/B69)</f>
        <v>40097.788999218574</v>
      </c>
      <c r="C70" s="215">
        <f>F4+((C13-C11)/C69)</f>
        <v>40070.826344886904</v>
      </c>
      <c r="D70" s="215">
        <f>F4+((D13-D11)/D69)</f>
        <v>40035.714260236287</v>
      </c>
      <c r="E70" s="215">
        <f>F4+((E13-E11)/E69)</f>
        <v>40068.010603884752</v>
      </c>
      <c r="F70" s="155"/>
      <c r="I70" s="15"/>
      <c r="J70" s="15"/>
      <c r="K70" s="121"/>
      <c r="M70" s="15"/>
      <c r="N70" s="113"/>
      <c r="Q70" s="21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Q71" s="21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B72" s="1"/>
      <c r="C72" s="1"/>
      <c r="O72" s="2"/>
      <c r="P72" s="21"/>
      <c r="Q72" s="21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B73" s="1"/>
      <c r="C73" s="1"/>
      <c r="H73" s="2"/>
      <c r="L73" s="2"/>
      <c r="M73" s="2"/>
      <c r="N73" s="2"/>
      <c r="O73" s="2"/>
      <c r="P73" s="21"/>
      <c r="Q73" s="21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H74" s="2"/>
      <c r="L74" s="2"/>
      <c r="M74" s="2"/>
      <c r="N74" s="26"/>
      <c r="O74" s="26"/>
      <c r="P74" s="21"/>
      <c r="Q74" s="21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G75" s="27"/>
      <c r="H75" s="27"/>
      <c r="I75" s="2"/>
      <c r="J75" s="2"/>
      <c r="K75" s="2"/>
      <c r="L75" s="2"/>
      <c r="M75" s="28"/>
      <c r="N75" s="28"/>
      <c r="O75" s="29"/>
      <c r="P75" s="21"/>
      <c r="Q75" s="21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F76" s="27"/>
      <c r="G76" s="2"/>
      <c r="H76" s="19"/>
      <c r="I76" s="2"/>
      <c r="J76" s="2"/>
      <c r="K76" s="2"/>
      <c r="L76" s="2"/>
      <c r="M76" s="2"/>
      <c r="N76" s="2"/>
      <c r="O76" s="30"/>
      <c r="P76" s="21"/>
      <c r="Q76" s="21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F77" s="30"/>
      <c r="G77" s="2"/>
      <c r="H77" s="2"/>
      <c r="I77" s="2"/>
      <c r="J77" s="2"/>
      <c r="K77" s="2"/>
      <c r="L77" s="19"/>
      <c r="M77" s="2"/>
      <c r="N77" s="2"/>
      <c r="O77" s="2"/>
      <c r="P77" s="21"/>
      <c r="Q77" s="21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F78" s="2"/>
      <c r="G78" s="2"/>
      <c r="H78" s="2"/>
      <c r="I78" s="2"/>
      <c r="J78" s="2"/>
      <c r="K78" s="2"/>
      <c r="L78" s="2"/>
      <c r="M78" s="2"/>
      <c r="N78" s="2"/>
      <c r="O78" s="2"/>
      <c r="P78" s="21"/>
      <c r="Q78" s="21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F79" s="2"/>
      <c r="G79" s="2"/>
      <c r="H79" s="2"/>
      <c r="I79" s="2"/>
      <c r="J79" s="2"/>
      <c r="K79" s="2"/>
      <c r="L79" s="2"/>
      <c r="M79" s="2"/>
      <c r="N79" s="2"/>
      <c r="O79" s="2"/>
      <c r="P79" s="21"/>
      <c r="Q79" s="21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F80" s="2"/>
      <c r="G80" s="2"/>
      <c r="H80" s="2"/>
      <c r="I80" s="2"/>
      <c r="J80" s="2"/>
      <c r="K80" s="2"/>
      <c r="L80" s="2"/>
      <c r="M80" s="2"/>
      <c r="N80" s="2"/>
      <c r="O80" s="2"/>
      <c r="P80" s="21"/>
      <c r="Q80" s="21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F81" s="2"/>
      <c r="G81" s="2"/>
      <c r="H81" s="2"/>
      <c r="I81" s="2"/>
      <c r="J81" s="2"/>
      <c r="K81" s="2"/>
      <c r="L81" s="2"/>
      <c r="M81" s="2"/>
      <c r="N81" s="2"/>
      <c r="O81" s="2"/>
      <c r="P81" s="21"/>
      <c r="Q81" s="21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F82" s="2"/>
      <c r="G82" s="2"/>
      <c r="H82" s="2"/>
      <c r="I82" s="2"/>
      <c r="J82" s="2"/>
      <c r="K82" s="2"/>
      <c r="L82" s="2"/>
      <c r="M82" s="2"/>
      <c r="N82" s="2"/>
      <c r="O82" s="2"/>
      <c r="P82" s="21"/>
      <c r="Q82" s="21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26" x14ac:dyDescent="0.2">
      <c r="A84" s="2"/>
      <c r="F84" s="2"/>
      <c r="I84" s="13"/>
    </row>
    <row r="85" spans="1:26" x14ac:dyDescent="0.2">
      <c r="A85" s="2"/>
    </row>
  </sheetData>
  <mergeCells count="14">
    <mergeCell ref="X21:AA21"/>
    <mergeCell ref="F5:H5"/>
    <mergeCell ref="AN21:AQ21"/>
    <mergeCell ref="AR21:AU21"/>
    <mergeCell ref="AB21:AE21"/>
    <mergeCell ref="T21:W21"/>
    <mergeCell ref="AF21:AI21"/>
    <mergeCell ref="AJ21:AM21"/>
    <mergeCell ref="P21:S21"/>
    <mergeCell ref="C8:D8"/>
    <mergeCell ref="E8:F8"/>
    <mergeCell ref="B20:E20"/>
    <mergeCell ref="G20:M20"/>
    <mergeCell ref="F4:G4"/>
  </mergeCells>
  <phoneticPr fontId="0" type="noConversion"/>
  <pageMargins left="0.25" right="0.25" top="0.75" bottom="0.75" header="0.3" footer="0.3"/>
  <pageSetup paperSize="9" scale="83" orientation="landscape" horizontalDpi="4294967293" verticalDpi="300" r:id="rId1"/>
  <headerFooter alignWithMargins="0"/>
  <rowBreaks count="1" manualBreakCount="1">
    <brk id="35" max="15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85"/>
  <sheetViews>
    <sheetView topLeftCell="A38" zoomScale="90" zoomScaleNormal="90" workbookViewId="0">
      <selection activeCell="N45" sqref="N45:N47"/>
    </sheetView>
  </sheetViews>
  <sheetFormatPr defaultColWidth="9.28515625" defaultRowHeight="15" x14ac:dyDescent="0.2"/>
  <cols>
    <col min="1" max="1" width="25.42578125" style="1" customWidth="1"/>
    <col min="2" max="5" width="12" style="2" customWidth="1"/>
    <col min="6" max="6" width="12.7109375" style="1" customWidth="1"/>
    <col min="7" max="7" width="7.7109375" style="1" customWidth="1"/>
    <col min="8" max="8" width="12.140625" style="1" customWidth="1"/>
    <col min="9" max="10" width="12" style="1" customWidth="1"/>
    <col min="11" max="12" width="9.28515625" style="1" customWidth="1"/>
    <col min="13" max="13" width="8" style="1" customWidth="1"/>
    <col min="14" max="14" width="9.28515625" style="1" customWidth="1"/>
    <col min="15" max="15" width="8.85546875" style="1" customWidth="1"/>
    <col min="16" max="16" width="12" style="11" customWidth="1"/>
    <col min="17" max="17" width="11.28515625" style="11" customWidth="1"/>
    <col min="18" max="18" width="10.7109375" style="1" customWidth="1"/>
    <col min="19" max="19" width="14.7109375" style="1" customWidth="1"/>
    <col min="20" max="20" width="12.5703125" style="1" bestFit="1" customWidth="1"/>
    <col min="21" max="23" width="10.7109375" style="1" customWidth="1"/>
    <col min="24" max="24" width="11.7109375" style="1" customWidth="1"/>
    <col min="25" max="28" width="10.7109375" style="1" customWidth="1"/>
    <col min="29" max="31" width="11.7109375" style="1" customWidth="1"/>
    <col min="32" max="32" width="12.7109375" style="1" customWidth="1"/>
    <col min="33" max="35" width="11.7109375" style="1" customWidth="1"/>
    <col min="36" max="36" width="10.7109375" style="1" customWidth="1"/>
    <col min="37" max="39" width="11.7109375" style="1" customWidth="1"/>
    <col min="40" max="40" width="9.28515625" style="1" bestFit="1" customWidth="1"/>
    <col min="41" max="43" width="11.7109375" style="1" customWidth="1"/>
    <col min="44" max="44" width="9.28515625" style="1" bestFit="1" customWidth="1"/>
    <col min="45" max="47" width="11.7109375" style="1" customWidth="1"/>
    <col min="48" max="48" width="10.28515625" style="1" customWidth="1"/>
    <col min="49" max="51" width="11.7109375" style="1" customWidth="1"/>
    <col min="52" max="52" width="9.28515625" style="1" bestFit="1" customWidth="1"/>
    <col min="53" max="55" width="9.7109375" style="1" customWidth="1"/>
    <col min="56" max="56" width="10.140625" style="1" customWidth="1"/>
    <col min="57" max="59" width="11.7109375" style="1" customWidth="1"/>
    <col min="60" max="16384" width="9.28515625" style="1"/>
  </cols>
  <sheetData>
    <row r="1" spans="1:35" x14ac:dyDescent="0.2">
      <c r="P1" s="244" t="s">
        <v>1</v>
      </c>
      <c r="Q1" s="245"/>
      <c r="AC1" s="246" t="s">
        <v>225</v>
      </c>
      <c r="AD1" s="247" t="s">
        <v>209</v>
      </c>
      <c r="AE1" s="247" t="s">
        <v>223</v>
      </c>
      <c r="AF1" s="248">
        <f xml:space="preserve"> EXP( AF8 + AF10 * LN( B11))</f>
        <v>127.38634020194795</v>
      </c>
      <c r="AG1" s="248">
        <f xml:space="preserve"> EXP( AG8 + AG10 * LN( C11))</f>
        <v>226.4610546620824</v>
      </c>
      <c r="AH1" s="248">
        <f xml:space="preserve"> EXP( AH8 + AH10 * LN( D11))</f>
        <v>355.37441231819338</v>
      </c>
      <c r="AI1" s="248">
        <f xml:space="preserve"> EXP( AI8 + AI10 * LN( E11))</f>
        <v>448.80121927507355</v>
      </c>
    </row>
    <row r="2" spans="1:35" ht="23.25" x14ac:dyDescent="0.35">
      <c r="A2" s="173" t="s">
        <v>145</v>
      </c>
      <c r="F2" s="28"/>
      <c r="G2" s="155"/>
      <c r="H2" s="170"/>
      <c r="I2" s="2"/>
      <c r="P2" s="169" t="s">
        <v>4</v>
      </c>
      <c r="S2" s="35" t="s">
        <v>241</v>
      </c>
      <c r="AB2" s="4"/>
      <c r="AC2" s="247"/>
      <c r="AD2" s="247" t="s">
        <v>203</v>
      </c>
      <c r="AE2" s="247" t="s">
        <v>222</v>
      </c>
      <c r="AF2" s="248">
        <f xml:space="preserve"> AF1* AF10 * B12*1000/ B11</f>
        <v>799.4766711074252</v>
      </c>
      <c r="AG2" s="248">
        <f xml:space="preserve"> AG1* AG10 * C12*1000/ C11</f>
        <v>819.96321868801692</v>
      </c>
      <c r="AH2" s="248">
        <f xml:space="preserve"> AH1* AH10 * D12*1000/ D11</f>
        <v>836.37367939086835</v>
      </c>
      <c r="AI2" s="248">
        <f xml:space="preserve"> AI1* AI10 * E12*1000/ E11</f>
        <v>751.11372057876315</v>
      </c>
    </row>
    <row r="3" spans="1:35" ht="20.45" customHeight="1" x14ac:dyDescent="0.2">
      <c r="G3" s="12"/>
      <c r="H3" s="12"/>
      <c r="P3" s="210" t="s">
        <v>2</v>
      </c>
      <c r="Q3" s="50"/>
      <c r="R3" s="21"/>
      <c r="S3" s="21" t="s">
        <v>128</v>
      </c>
      <c r="U3" s="2"/>
      <c r="V3" s="2"/>
      <c r="W3" s="2"/>
      <c r="AB3" s="4"/>
      <c r="AC3" s="247"/>
      <c r="AD3" s="247" t="s">
        <v>204</v>
      </c>
      <c r="AE3" s="247" t="s">
        <v>222</v>
      </c>
      <c r="AF3" s="248">
        <f>1000*(((((EXP(AF13+AF15*LN(AF1)+0*(LN(AF1)^2)))/AF1)*(AF15+2*0*LN(AF1))*AF18)/((AF18)^1.78))*(AF2/1000)^1.78)</f>
        <v>133.94445546416674</v>
      </c>
      <c r="AG3" s="248">
        <f>1000*(((((EXP(AG13+AG15*LN(AG1)+0*(LN(AG1)^2)))/AG1)*(AG15+2*0*LN(AG1))*AG18)/((AG18)^1.78))*(AG2/1000)^1.78)</f>
        <v>223.42384204529029</v>
      </c>
      <c r="AH3" s="248">
        <f>1000*(((((EXP(AH13+AH15*LN(AH1)+0*(LN(AH1)^2)))/AH1)*(AH15+2*0*LN(AH1))*AH18)/((AH18)^1.78))*(AH2/1000)^1.78)</f>
        <v>333.54535132679462</v>
      </c>
      <c r="AI3" s="248">
        <f>1000*(((((EXP(AI13+AI15*LN(AI1)+0*(LN(AI1)^2)))/AI1)*(AI15+2*0*LN(AI1))*AI18)/((AI18)^1.78))*(AI2/1000)^1.78)</f>
        <v>332.84937025022532</v>
      </c>
    </row>
    <row r="4" spans="1:35" ht="15.75" x14ac:dyDescent="0.25">
      <c r="A4" s="1" t="s">
        <v>12</v>
      </c>
      <c r="B4" s="175" t="s">
        <v>147</v>
      </c>
      <c r="C4" s="1"/>
      <c r="D4" s="1" t="s">
        <v>13</v>
      </c>
      <c r="E4" s="1"/>
      <c r="F4" s="273">
        <v>44882</v>
      </c>
      <c r="G4" s="274"/>
      <c r="H4" s="12"/>
      <c r="I4" s="16"/>
      <c r="P4" s="2" t="s">
        <v>146</v>
      </c>
      <c r="Q4" s="21" t="s">
        <v>5</v>
      </c>
      <c r="R4" s="21" t="s">
        <v>6</v>
      </c>
      <c r="S4" s="21" t="s">
        <v>7</v>
      </c>
      <c r="T4" s="2" t="s">
        <v>8</v>
      </c>
      <c r="U4" s="21" t="s">
        <v>9</v>
      </c>
      <c r="V4" s="21" t="s">
        <v>10</v>
      </c>
      <c r="W4" s="21" t="s">
        <v>11</v>
      </c>
      <c r="AB4" s="4"/>
      <c r="AC4" s="247"/>
      <c r="AD4" s="247" t="s">
        <v>205</v>
      </c>
      <c r="AE4" s="247" t="s">
        <v>222</v>
      </c>
      <c r="AF4" s="248">
        <f xml:space="preserve"> AF6 * 1.06 * ( AF2 - AF3)* (AF5^0.06 )</f>
        <v>151.59775098886197</v>
      </c>
      <c r="AG4" s="248">
        <f t="shared" ref="AG4:AI4" si="0" xml:space="preserve"> AG6 * 1.06 * ( AG2 - AG3)* (AG5^0.06 )</f>
        <v>140.12794531320091</v>
      </c>
      <c r="AH4" s="248">
        <f t="shared" si="0"/>
        <v>120.77483069135714</v>
      </c>
      <c r="AI4" s="248">
        <f t="shared" si="0"/>
        <v>101.52654335151887</v>
      </c>
    </row>
    <row r="5" spans="1:35" x14ac:dyDescent="0.2">
      <c r="A5" s="1" t="s">
        <v>184</v>
      </c>
      <c r="B5" s="175" t="s">
        <v>147</v>
      </c>
      <c r="C5" s="14"/>
      <c r="D5" s="1" t="s">
        <v>17</v>
      </c>
      <c r="E5" s="1"/>
      <c r="F5" s="275" t="s">
        <v>147</v>
      </c>
      <c r="G5" s="276"/>
      <c r="H5" s="277"/>
      <c r="I5" s="16"/>
      <c r="L5" s="171"/>
      <c r="M5" s="155"/>
      <c r="N5" s="172"/>
      <c r="O5" s="2"/>
      <c r="P5" s="159" t="s">
        <v>15</v>
      </c>
      <c r="Q5" s="92"/>
      <c r="R5" s="160"/>
      <c r="S5" s="94">
        <f>Q6*S6+Q7*S7+Q8*S8+Q9*S9</f>
        <v>1595.6740124002231</v>
      </c>
      <c r="T5" s="92"/>
      <c r="U5" s="92"/>
      <c r="V5" s="92"/>
      <c r="W5" s="92"/>
      <c r="AB5" s="4"/>
      <c r="AC5" s="247"/>
      <c r="AD5" s="247" t="s">
        <v>206</v>
      </c>
      <c r="AE5" s="247" t="s">
        <v>223</v>
      </c>
      <c r="AF5" s="248">
        <f xml:space="preserve"> AF1  - AF12</f>
        <v>115.59549262529774</v>
      </c>
      <c r="AG5" s="248">
        <f t="shared" ref="AG5:AI5" si="1" xml:space="preserve"> AG1  - AG12</f>
        <v>193.03687173509516</v>
      </c>
      <c r="AH5" s="248">
        <f t="shared" si="1"/>
        <v>279.78514243319756</v>
      </c>
      <c r="AI5" s="248">
        <f t="shared" si="1"/>
        <v>333.44596797714195</v>
      </c>
    </row>
    <row r="6" spans="1:35" x14ac:dyDescent="0.2">
      <c r="G6" s="12"/>
      <c r="H6" s="12"/>
      <c r="I6" s="16"/>
      <c r="L6" s="35"/>
      <c r="N6" s="18"/>
      <c r="O6" s="2"/>
      <c r="P6" s="92" t="s">
        <v>19</v>
      </c>
      <c r="Q6" s="160">
        <f>$B$10</f>
        <v>14</v>
      </c>
      <c r="R6" s="161">
        <f>$B$11</f>
        <v>150</v>
      </c>
      <c r="S6" s="57">
        <f>(($R6^0.75)*0.475)*1.05</f>
        <v>21.377226214684143</v>
      </c>
      <c r="T6" s="57"/>
      <c r="U6" s="57"/>
      <c r="V6" s="58"/>
      <c r="W6" s="60"/>
      <c r="X6" s="2"/>
      <c r="Y6" s="181" t="s">
        <v>21</v>
      </c>
      <c r="Z6" s="181" t="s">
        <v>22</v>
      </c>
      <c r="AA6" s="181" t="s">
        <v>23</v>
      </c>
      <c r="AB6" s="4"/>
      <c r="AC6" s="247" t="s">
        <v>203</v>
      </c>
      <c r="AD6" s="247" t="s">
        <v>207</v>
      </c>
      <c r="AE6" s="247"/>
      <c r="AF6" s="247">
        <v>0.16159999999999999</v>
      </c>
      <c r="AG6" s="247">
        <v>0.16159999999999999</v>
      </c>
      <c r="AH6" s="247">
        <v>0.16159999999999999</v>
      </c>
      <c r="AI6" s="247">
        <v>0.16159999999999999</v>
      </c>
    </row>
    <row r="7" spans="1:35" x14ac:dyDescent="0.2">
      <c r="B7" s="95"/>
      <c r="C7" s="28"/>
      <c r="F7" s="12"/>
      <c r="G7" s="12"/>
      <c r="H7" s="12"/>
      <c r="I7" s="16"/>
      <c r="M7" s="18"/>
      <c r="N7" s="18"/>
      <c r="O7" s="18"/>
      <c r="P7" s="162" t="s">
        <v>20</v>
      </c>
      <c r="Q7" s="160">
        <f>$C$10</f>
        <v>10</v>
      </c>
      <c r="R7" s="160">
        <f>$C$11</f>
        <v>260</v>
      </c>
      <c r="S7" s="57">
        <f>(($R7^0.75)*0.475)*1.05</f>
        <v>32.293336624245534</v>
      </c>
      <c r="T7" s="57"/>
      <c r="U7" s="59"/>
      <c r="V7" s="58"/>
      <c r="W7" s="59"/>
      <c r="X7" s="2"/>
      <c r="Y7" s="182">
        <f>((0.522*AA7)/(6.28+0.0188*Z7))/(1+(((0.522*AA7)/(6.28+0.0188*Z7))*0.3))</f>
        <v>1.2007830113054905</v>
      </c>
      <c r="Z7" s="181">
        <v>200</v>
      </c>
      <c r="AA7" s="181">
        <v>36.1</v>
      </c>
      <c r="AB7" s="4"/>
      <c r="AC7" s="247" t="s">
        <v>203</v>
      </c>
      <c r="AD7" s="247" t="s">
        <v>208</v>
      </c>
      <c r="AE7" s="247"/>
      <c r="AF7" s="247">
        <v>0.15409999999999999</v>
      </c>
      <c r="AG7" s="247">
        <v>0.15409999999999999</v>
      </c>
      <c r="AH7" s="247">
        <v>0.15409999999999999</v>
      </c>
      <c r="AI7" s="247">
        <v>0.15409999999999999</v>
      </c>
    </row>
    <row r="8" spans="1:35" ht="18.75" x14ac:dyDescent="0.3">
      <c r="A8" s="90"/>
      <c r="B8" s="209"/>
      <c r="C8" s="265"/>
      <c r="D8" s="266"/>
      <c r="E8" s="265"/>
      <c r="F8" s="267"/>
      <c r="G8" s="12"/>
      <c r="I8" s="16"/>
      <c r="J8" s="52"/>
      <c r="K8" s="12"/>
      <c r="L8" s="36"/>
      <c r="M8" s="209"/>
      <c r="N8" s="12"/>
      <c r="O8" s="12"/>
      <c r="P8" s="92" t="s">
        <v>24</v>
      </c>
      <c r="Q8" s="59">
        <f>$D$10</f>
        <v>10</v>
      </c>
      <c r="R8" s="161">
        <f>$D$11</f>
        <v>400</v>
      </c>
      <c r="S8" s="57">
        <f>(($R8^0.75)*0.475)*1.05</f>
        <v>44.609556151120806</v>
      </c>
      <c r="T8" s="92"/>
      <c r="U8" s="59"/>
      <c r="V8" s="71"/>
      <c r="W8" s="93"/>
      <c r="X8" s="2"/>
      <c r="Y8" s="182">
        <f>((0.522*AA8)/(6.28+0.0188*Z8))/(1+(((0.522*AA8)/(6.28+0.0188*Z8))*0.3))</f>
        <v>1.2001242104969816</v>
      </c>
      <c r="Z8" s="181">
        <v>350</v>
      </c>
      <c r="AA8" s="38">
        <v>46.2</v>
      </c>
      <c r="AB8" s="4"/>
      <c r="AC8" s="247" t="s">
        <v>209</v>
      </c>
      <c r="AD8" s="247" t="s">
        <v>210</v>
      </c>
      <c r="AE8" s="247"/>
      <c r="AF8" s="247">
        <v>-0.39389999999999997</v>
      </c>
      <c r="AG8" s="247">
        <v>-0.39389999999999997</v>
      </c>
      <c r="AH8" s="247">
        <v>-0.39389999999999997</v>
      </c>
      <c r="AI8" s="247">
        <v>-0.39389999999999997</v>
      </c>
    </row>
    <row r="9" spans="1:35" ht="18.75" x14ac:dyDescent="0.3">
      <c r="A9" s="116" t="s">
        <v>148</v>
      </c>
      <c r="B9" s="236" t="s">
        <v>26</v>
      </c>
      <c r="C9" s="236" t="s">
        <v>27</v>
      </c>
      <c r="D9" s="236" t="s">
        <v>28</v>
      </c>
      <c r="E9" s="236" t="s">
        <v>29</v>
      </c>
      <c r="F9" s="234" t="s">
        <v>30</v>
      </c>
      <c r="I9" s="16"/>
      <c r="J9" s="52"/>
      <c r="K9" s="12"/>
      <c r="L9" s="209"/>
      <c r="M9" s="209"/>
      <c r="N9" s="12"/>
      <c r="O9" s="12"/>
      <c r="P9" s="162" t="s">
        <v>25</v>
      </c>
      <c r="Q9" s="160">
        <f>$E$10</f>
        <v>10</v>
      </c>
      <c r="R9" s="163">
        <f>$E$11</f>
        <v>500</v>
      </c>
      <c r="S9" s="57">
        <f>(($R9^0.75)*0.475)*1.05</f>
        <v>52.736391764098144</v>
      </c>
      <c r="T9" s="57"/>
      <c r="U9" s="57"/>
      <c r="V9" s="58"/>
      <c r="W9" s="59"/>
      <c r="X9" s="2"/>
      <c r="Y9" s="182">
        <f>((0.522*AA9)/(6.28+0.0188*Z9))/(1+(((0.522*AA9)/(6.28+0.0188*Z9))*0.3))</f>
        <v>1.0002400475041375</v>
      </c>
      <c r="Z9" s="181">
        <v>550</v>
      </c>
      <c r="AA9" s="38">
        <v>45.5</v>
      </c>
      <c r="AB9" s="4"/>
      <c r="AC9" s="247" t="s">
        <v>209</v>
      </c>
      <c r="AD9" s="247" t="s">
        <v>211</v>
      </c>
      <c r="AE9" s="247"/>
      <c r="AF9" s="247">
        <v>-0.27794999999999997</v>
      </c>
      <c r="AG9" s="247">
        <v>-0.27794999999999997</v>
      </c>
      <c r="AH9" s="247">
        <v>-0.27794999999999997</v>
      </c>
      <c r="AI9" s="247">
        <v>-0.27794999999999997</v>
      </c>
    </row>
    <row r="10" spans="1:35" ht="15.75" x14ac:dyDescent="0.25">
      <c r="A10" s="104" t="s">
        <v>5</v>
      </c>
      <c r="B10" s="76">
        <v>14</v>
      </c>
      <c r="C10" s="76">
        <v>10</v>
      </c>
      <c r="D10" s="76">
        <v>10</v>
      </c>
      <c r="E10" s="76">
        <v>10</v>
      </c>
      <c r="F10" s="234">
        <f>SUM(B10:E10)</f>
        <v>44</v>
      </c>
      <c r="I10" s="155"/>
      <c r="J10" s="26"/>
      <c r="O10" s="12"/>
      <c r="P10" s="159" t="s">
        <v>31</v>
      </c>
      <c r="Q10" s="160"/>
      <c r="R10" s="160"/>
      <c r="S10" s="94">
        <f>$Q$11*S11+$Q$12*S12+$Q$13*S13+$Q$14*S14</f>
        <v>1520.5587847748802</v>
      </c>
      <c r="T10" s="94">
        <f>$Q$11*T11+$Q$12*T12+$Q$13*T13+$Q$14*T14</f>
        <v>35369.581443751544</v>
      </c>
      <c r="U10" s="94">
        <f>$Q$11*U11+$Q$12*U12+$Q$13*U13+$Q$14*U14</f>
        <v>20928.142920418009</v>
      </c>
      <c r="V10" s="94">
        <f>$Q$11*V11+$Q$12*V12+$Q$13*V13+$Q$14*V14</f>
        <v>1448</v>
      </c>
      <c r="W10" s="94">
        <f>$Q$11*W11+$Q$12*W12+$Q$13*W13+$Q$14*W14</f>
        <v>952</v>
      </c>
      <c r="X10" s="2"/>
      <c r="Y10" s="2"/>
      <c r="Z10" s="2"/>
      <c r="AB10" s="4"/>
      <c r="AC10" s="247" t="s">
        <v>209</v>
      </c>
      <c r="AD10" s="247" t="s">
        <v>212</v>
      </c>
      <c r="AE10" s="247"/>
      <c r="AF10" s="247">
        <v>1.046</v>
      </c>
      <c r="AG10" s="247">
        <v>1.046</v>
      </c>
      <c r="AH10" s="247">
        <v>1.046</v>
      </c>
      <c r="AI10" s="247">
        <v>1.046</v>
      </c>
    </row>
    <row r="11" spans="1:35" ht="15.75" x14ac:dyDescent="0.25">
      <c r="A11" s="104" t="s">
        <v>32</v>
      </c>
      <c r="B11" s="76">
        <v>150</v>
      </c>
      <c r="C11" s="76">
        <v>260</v>
      </c>
      <c r="D11" s="76">
        <v>400</v>
      </c>
      <c r="E11" s="76">
        <v>500</v>
      </c>
      <c r="F11" s="235">
        <f>(B10*B11+C11*C10+D11*D10+E10*E11)/(B10+C10+D10+E10)</f>
        <v>311.36363636363637</v>
      </c>
      <c r="H11" s="12"/>
      <c r="O11" s="12"/>
      <c r="P11" s="92" t="s">
        <v>19</v>
      </c>
      <c r="Q11" s="160">
        <f>$B$10</f>
        <v>14</v>
      </c>
      <c r="R11" s="161">
        <f>$B$11</f>
        <v>150</v>
      </c>
      <c r="S11" s="58">
        <f>((B12*(6.28+0.0188*R11))/((1-0.3*B12)*0.435))*1.05</f>
        <v>27.08077468115258</v>
      </c>
      <c r="T11" s="57">
        <f>LOOKUP($R11,$S$39:$S$62,$T$39:$T$62)*(S11+S6)</f>
        <v>634.79981173546105</v>
      </c>
      <c r="U11" s="57">
        <f>LOOKUP($R11,$S$39:$S$62,$U$39:$U$62)*(S11+S6)</f>
        <v>351.32050649481619</v>
      </c>
      <c r="V11" s="57">
        <f>LOOKUP($R11,$W$40:$W$45,X40:X45)</f>
        <v>27</v>
      </c>
      <c r="W11" s="57">
        <f>LOOKUP($R11,$W$40:$W$45,Y40:Y45)</f>
        <v>13</v>
      </c>
      <c r="X11" s="2"/>
      <c r="Y11" s="2"/>
      <c r="Z11" s="2"/>
      <c r="AB11" s="4"/>
      <c r="AC11" s="247" t="s">
        <v>209</v>
      </c>
      <c r="AD11" s="247" t="s">
        <v>213</v>
      </c>
      <c r="AE11" s="247"/>
      <c r="AF11" s="247">
        <v>1.0229999999999999</v>
      </c>
      <c r="AG11" s="247">
        <v>1.0229999999999999</v>
      </c>
      <c r="AH11" s="247">
        <v>1.0229999999999999</v>
      </c>
      <c r="AI11" s="247">
        <v>1.0229999999999999</v>
      </c>
    </row>
    <row r="12" spans="1:35" ht="15.75" x14ac:dyDescent="0.25">
      <c r="A12" s="104" t="s">
        <v>33</v>
      </c>
      <c r="B12" s="76">
        <v>0.9</v>
      </c>
      <c r="C12" s="102">
        <v>0.9</v>
      </c>
      <c r="D12" s="102">
        <v>0.9</v>
      </c>
      <c r="E12" s="76">
        <v>0.8</v>
      </c>
      <c r="F12" s="15"/>
      <c r="G12" s="103"/>
      <c r="H12" s="54"/>
      <c r="I12" s="55"/>
      <c r="J12" s="15"/>
      <c r="K12" s="12"/>
      <c r="L12" s="209"/>
      <c r="M12" s="15"/>
      <c r="N12" s="15"/>
      <c r="O12" s="12"/>
      <c r="P12" s="162" t="s">
        <v>20</v>
      </c>
      <c r="Q12" s="160">
        <f>$C$10</f>
        <v>10</v>
      </c>
      <c r="R12" s="160">
        <f>$C$11</f>
        <v>260</v>
      </c>
      <c r="S12" s="58">
        <f>((C12*(6.28+0.0188*R12))/((1-0.3*C12)*0.435))*1.05</f>
        <v>33.234955125177137</v>
      </c>
      <c r="T12" s="57">
        <f>LOOKUP($R12,$S$39:$S$62,$T$39:$T$62)*(S12+S7)</f>
        <v>760.12818429330287</v>
      </c>
      <c r="U12" s="57">
        <f>LOOKUP($R12,$S$39:$S$62,$U$39:$U$62)*(S12+S7)</f>
        <v>442.31596930860297</v>
      </c>
      <c r="V12" s="57">
        <f>LOOKUP($R12,$W$40:$W$45,X40:X45)</f>
        <v>30</v>
      </c>
      <c r="W12" s="57">
        <f>LOOKUP($R12,$W$40:$W$45,Y40:Y45)</f>
        <v>15</v>
      </c>
      <c r="X12" s="2"/>
      <c r="Y12" s="2"/>
      <c r="Z12" s="2"/>
      <c r="AB12" s="4"/>
      <c r="AC12" s="247"/>
      <c r="AD12" s="247" t="s">
        <v>214</v>
      </c>
      <c r="AE12" s="247"/>
      <c r="AF12" s="248">
        <f>EXP(AF13+AF15*(LN(AF1))+AF17*(LN(AF1)^2))</f>
        <v>11.790847576650206</v>
      </c>
      <c r="AG12" s="248">
        <f t="shared" ref="AG12:AI12" si="2">EXP(AG13+AG15*(LN(AG1))+AG17*(LN(AG1)^2))</f>
        <v>33.42418292698725</v>
      </c>
      <c r="AH12" s="248">
        <f t="shared" si="2"/>
        <v>75.589269884995801</v>
      </c>
      <c r="AI12" s="248">
        <f t="shared" si="2"/>
        <v>115.35525129793159</v>
      </c>
    </row>
    <row r="13" spans="1:35" ht="15.75" x14ac:dyDescent="0.25">
      <c r="A13" s="104" t="s">
        <v>35</v>
      </c>
      <c r="B13" s="76">
        <v>550</v>
      </c>
      <c r="C13" s="174">
        <v>550</v>
      </c>
      <c r="D13" s="174">
        <v>550</v>
      </c>
      <c r="E13" s="76">
        <v>600</v>
      </c>
      <c r="F13" s="15"/>
      <c r="I13" s="84"/>
      <c r="J13" s="50"/>
      <c r="K13" s="50"/>
      <c r="L13" s="50"/>
      <c r="M13" s="50"/>
      <c r="N13" s="18"/>
      <c r="O13" s="19"/>
      <c r="P13" s="162" t="s">
        <v>34</v>
      </c>
      <c r="Q13" s="59">
        <f>$D$10</f>
        <v>10</v>
      </c>
      <c r="R13" s="161">
        <f>$D$11</f>
        <v>400</v>
      </c>
      <c r="S13" s="58">
        <f>((D12*(6.28+0.0188*R13))/((1-0.3*D12)*0.435))*1.05</f>
        <v>41.067548417572041</v>
      </c>
      <c r="T13" s="57">
        <f>LOOKUP($R13,$S$39:$S$62,$T$39:$T$62)*(S13+S8)</f>
        <v>925.31272934188269</v>
      </c>
      <c r="U13" s="57">
        <f>LOOKUP($R13,$S$39:$S$62,$U$39:$U$62)*(S13+S8)</f>
        <v>556.9011796965035</v>
      </c>
      <c r="V13" s="57">
        <f>LOOKUP($R13,$W$40:$W$45,X40:X45)</f>
        <v>37</v>
      </c>
      <c r="W13" s="57">
        <f>LOOKUP($R13,$W$40:$W$45,Y40:Y45)</f>
        <v>29</v>
      </c>
      <c r="X13" s="2"/>
      <c r="Y13" s="2"/>
      <c r="Z13" s="2"/>
      <c r="AB13" s="4"/>
      <c r="AC13" s="247" t="s">
        <v>218</v>
      </c>
      <c r="AD13" s="247" t="s">
        <v>219</v>
      </c>
      <c r="AE13" s="247"/>
      <c r="AF13" s="247">
        <v>-6.3109999999999999</v>
      </c>
      <c r="AG13" s="247">
        <v>-6.3109999999999999</v>
      </c>
      <c r="AH13" s="247">
        <v>-6.3109999999999999</v>
      </c>
      <c r="AI13" s="247">
        <v>-6.3109999999999999</v>
      </c>
    </row>
    <row r="14" spans="1:35" ht="15.75" x14ac:dyDescent="0.25">
      <c r="A14" s="104" t="s">
        <v>36</v>
      </c>
      <c r="B14" s="115">
        <f>(B13-B11)/B12</f>
        <v>444.44444444444446</v>
      </c>
      <c r="C14" s="115">
        <f>(C13-C11)/C12</f>
        <v>322.22222222222223</v>
      </c>
      <c r="D14" s="115">
        <f>(D13-D11)/D12</f>
        <v>166.66666666666666</v>
      </c>
      <c r="E14" s="115">
        <f>(E13-E11)/E12</f>
        <v>125</v>
      </c>
      <c r="F14" s="15"/>
      <c r="I14" s="86"/>
      <c r="J14" s="86"/>
      <c r="K14" s="86"/>
      <c r="O14" s="19"/>
      <c r="P14" s="162" t="s">
        <v>25</v>
      </c>
      <c r="Q14" s="160">
        <f>$E$10</f>
        <v>10</v>
      </c>
      <c r="R14" s="163">
        <f>$E$11</f>
        <v>500</v>
      </c>
      <c r="S14" s="58">
        <f>((E12*(6.28+0.0188*R14))/((1-0.3*E12)*0.435))*1.05</f>
        <v>39.840290381125236</v>
      </c>
      <c r="T14" s="57">
        <f>LOOKUP($R14,$S$39:$S$62,$T$39:$T$62)*(S14+S9)</f>
        <v>962.79749431032315</v>
      </c>
      <c r="U14" s="57">
        <f>LOOKUP($R14,$S$39:$S$62,$U$39:$U$62)*(S14+S9)</f>
        <v>601.74843394395191</v>
      </c>
      <c r="V14" s="57">
        <f>LOOKUP($R14,$W$40:$W$45,X40:X45)</f>
        <v>40</v>
      </c>
      <c r="W14" s="57">
        <f>LOOKUP($R14,$W$40:$W$45,Y40:Y45)</f>
        <v>33</v>
      </c>
      <c r="X14" s="2"/>
      <c r="Y14" s="2"/>
      <c r="Z14" s="2"/>
      <c r="AB14" s="4"/>
      <c r="AC14" s="247" t="s">
        <v>218</v>
      </c>
      <c r="AD14" s="247" t="s">
        <v>220</v>
      </c>
      <c r="AE14" s="247"/>
      <c r="AF14" s="247">
        <v>-5.7541000000000002</v>
      </c>
      <c r="AG14" s="247">
        <v>-5.7541000000000002</v>
      </c>
      <c r="AH14" s="247">
        <v>-5.7541000000000002</v>
      </c>
      <c r="AI14" s="247">
        <v>-5.7541000000000002</v>
      </c>
    </row>
    <row r="15" spans="1:35" ht="15.75" x14ac:dyDescent="0.25">
      <c r="A15" s="104" t="s">
        <v>38</v>
      </c>
      <c r="B15" s="214">
        <f>$F$4+B14</f>
        <v>45326.444444444445</v>
      </c>
      <c r="C15" s="214">
        <f>$F$4+C14</f>
        <v>45204.222222222219</v>
      </c>
      <c r="D15" s="214">
        <f>$F$4+D14</f>
        <v>45048.666666666664</v>
      </c>
      <c r="E15" s="214">
        <f>$F$4+E14</f>
        <v>45007</v>
      </c>
      <c r="F15" s="15"/>
      <c r="H15" s="54"/>
      <c r="I15" s="187"/>
      <c r="J15" s="15"/>
      <c r="K15" s="15"/>
      <c r="O15" s="19"/>
      <c r="P15" s="159" t="s">
        <v>37</v>
      </c>
      <c r="Q15" s="160"/>
      <c r="R15" s="160"/>
      <c r="S15" s="61">
        <f t="shared" ref="S15:U19" si="3">S5+S10</f>
        <v>3116.2327971751033</v>
      </c>
      <c r="T15" s="61">
        <f t="shared" si="3"/>
        <v>35369.581443751544</v>
      </c>
      <c r="U15" s="61">
        <f t="shared" si="3"/>
        <v>20928.142920418009</v>
      </c>
      <c r="V15" s="61">
        <f>V14+V12+V10+V7+V8</f>
        <v>1518</v>
      </c>
      <c r="W15" s="62">
        <f>W14+W10</f>
        <v>985</v>
      </c>
      <c r="X15" s="2"/>
      <c r="Y15" s="2"/>
      <c r="Z15" s="2"/>
      <c r="AB15" s="4"/>
      <c r="AC15" s="247" t="s">
        <v>218</v>
      </c>
      <c r="AD15" s="247" t="s">
        <v>215</v>
      </c>
      <c r="AE15" s="247"/>
      <c r="AF15" s="247">
        <v>1.8109999999999999</v>
      </c>
      <c r="AG15" s="247">
        <v>1.8109999999999999</v>
      </c>
      <c r="AH15" s="247">
        <v>1.8109999999999999</v>
      </c>
      <c r="AI15" s="247">
        <v>1.8109999999999999</v>
      </c>
    </row>
    <row r="16" spans="1:35" ht="15.75" x14ac:dyDescent="0.25">
      <c r="A16" s="105"/>
      <c r="B16" s="106"/>
      <c r="C16" s="106"/>
      <c r="D16" s="106"/>
      <c r="E16" s="106"/>
      <c r="H16" s="19"/>
      <c r="I16" s="69"/>
      <c r="O16" s="19"/>
      <c r="P16" s="92" t="s">
        <v>19</v>
      </c>
      <c r="Q16" s="160">
        <f>$B$10</f>
        <v>14</v>
      </c>
      <c r="R16" s="161">
        <f>$B$11</f>
        <v>150</v>
      </c>
      <c r="S16" s="57">
        <f t="shared" si="3"/>
        <v>48.458000895836719</v>
      </c>
      <c r="T16" s="57">
        <f>T6+T11</f>
        <v>634.79981173546105</v>
      </c>
      <c r="U16" s="57">
        <f t="shared" si="3"/>
        <v>351.32050649481619</v>
      </c>
      <c r="V16" s="57">
        <f t="shared" ref="V16:W19" si="4">V6+V11</f>
        <v>27</v>
      </c>
      <c r="W16" s="57">
        <f t="shared" si="4"/>
        <v>13</v>
      </c>
      <c r="X16" s="2"/>
      <c r="Y16" s="2"/>
      <c r="Z16" s="2"/>
      <c r="AB16" s="4"/>
      <c r="AC16" s="247" t="s">
        <v>218</v>
      </c>
      <c r="AD16" s="247" t="s">
        <v>216</v>
      </c>
      <c r="AE16" s="247"/>
      <c r="AF16" s="247">
        <v>1.3708</v>
      </c>
      <c r="AG16" s="247">
        <v>1.3708</v>
      </c>
      <c r="AH16" s="247">
        <v>1.3708</v>
      </c>
      <c r="AI16" s="247">
        <v>1.3708</v>
      </c>
    </row>
    <row r="17" spans="1:65" x14ac:dyDescent="0.2">
      <c r="A17" s="85"/>
      <c r="B17" s="86"/>
      <c r="C17" s="86"/>
      <c r="D17" s="86"/>
      <c r="E17" s="86"/>
      <c r="G17" s="2"/>
      <c r="H17" s="19"/>
      <c r="I17" s="69"/>
      <c r="O17" s="19"/>
      <c r="P17" s="162" t="s">
        <v>20</v>
      </c>
      <c r="Q17" s="160">
        <f>$C$10</f>
        <v>10</v>
      </c>
      <c r="R17" s="160">
        <f>$C$11</f>
        <v>260</v>
      </c>
      <c r="S17" s="57">
        <f t="shared" si="3"/>
        <v>65.528291749422664</v>
      </c>
      <c r="T17" s="57">
        <f t="shared" si="3"/>
        <v>760.12818429330287</v>
      </c>
      <c r="U17" s="57">
        <f t="shared" si="3"/>
        <v>442.31596930860297</v>
      </c>
      <c r="V17" s="57">
        <f t="shared" si="4"/>
        <v>30</v>
      </c>
      <c r="W17" s="57">
        <f t="shared" si="4"/>
        <v>15</v>
      </c>
      <c r="X17" s="2"/>
      <c r="Y17" s="2"/>
      <c r="Z17" s="2"/>
      <c r="AB17" s="4"/>
      <c r="AC17" s="247" t="s">
        <v>218</v>
      </c>
      <c r="AD17" s="247" t="s">
        <v>217</v>
      </c>
      <c r="AE17" s="247" t="s">
        <v>226</v>
      </c>
      <c r="AF17" s="247">
        <v>0</v>
      </c>
      <c r="AG17" s="247">
        <v>0</v>
      </c>
      <c r="AH17" s="247">
        <v>0</v>
      </c>
      <c r="AI17" s="247">
        <v>0</v>
      </c>
    </row>
    <row r="18" spans="1:65" x14ac:dyDescent="0.2">
      <c r="A18" s="85"/>
      <c r="B18" s="86"/>
      <c r="C18" s="86"/>
      <c r="D18" s="86"/>
      <c r="E18" s="86"/>
      <c r="G18" s="2"/>
      <c r="H18" s="19"/>
      <c r="I18" s="69"/>
      <c r="O18" s="19"/>
      <c r="P18" s="162" t="s">
        <v>34</v>
      </c>
      <c r="Q18" s="59">
        <f>$D$10</f>
        <v>10</v>
      </c>
      <c r="R18" s="161">
        <f>$D$11</f>
        <v>400</v>
      </c>
      <c r="S18" s="57">
        <f t="shared" si="3"/>
        <v>85.67710456869284</v>
      </c>
      <c r="T18" s="57">
        <f t="shared" si="3"/>
        <v>925.31272934188269</v>
      </c>
      <c r="U18" s="57">
        <f t="shared" si="3"/>
        <v>556.9011796965035</v>
      </c>
      <c r="V18" s="57">
        <f t="shared" si="4"/>
        <v>37</v>
      </c>
      <c r="W18" s="57">
        <f t="shared" si="4"/>
        <v>29</v>
      </c>
      <c r="X18" s="2"/>
      <c r="Y18" s="2"/>
      <c r="Z18" s="2"/>
      <c r="AB18" s="4"/>
      <c r="AC18" s="247" t="s">
        <v>218</v>
      </c>
      <c r="AD18" s="247" t="s">
        <v>221</v>
      </c>
      <c r="AE18" s="247" t="s">
        <v>224</v>
      </c>
      <c r="AF18" s="247">
        <v>0.8</v>
      </c>
      <c r="AG18" s="247">
        <v>0.8</v>
      </c>
      <c r="AH18" s="247">
        <v>0.8</v>
      </c>
      <c r="AI18" s="247">
        <v>0.8</v>
      </c>
    </row>
    <row r="19" spans="1:65" ht="18" x14ac:dyDescent="0.25">
      <c r="G19" s="2"/>
      <c r="H19" s="19"/>
      <c r="I19" s="188"/>
      <c r="J19" s="37"/>
      <c r="K19" s="19"/>
      <c r="L19" s="19"/>
      <c r="M19" s="19"/>
      <c r="N19" s="19"/>
      <c r="O19" s="19"/>
      <c r="P19" s="162" t="s">
        <v>25</v>
      </c>
      <c r="Q19" s="160">
        <f>$E$10</f>
        <v>10</v>
      </c>
      <c r="R19" s="163">
        <f>$E$11</f>
        <v>500</v>
      </c>
      <c r="S19" s="57">
        <f t="shared" si="3"/>
        <v>92.576682145223373</v>
      </c>
      <c r="T19" s="57">
        <f t="shared" si="3"/>
        <v>962.79749431032315</v>
      </c>
      <c r="U19" s="57">
        <f t="shared" si="3"/>
        <v>601.74843394395191</v>
      </c>
      <c r="V19" s="57">
        <f t="shared" si="4"/>
        <v>40</v>
      </c>
      <c r="W19" s="57">
        <f t="shared" si="4"/>
        <v>33</v>
      </c>
      <c r="X19" s="2"/>
      <c r="Y19" s="2"/>
      <c r="Z19" s="2"/>
      <c r="AB19" s="4"/>
      <c r="AC19" s="246" t="s">
        <v>228</v>
      </c>
      <c r="AD19" s="247" t="s">
        <v>81</v>
      </c>
      <c r="AE19" s="247" t="s">
        <v>227</v>
      </c>
      <c r="AF19" s="249">
        <f>AF4*0.039</f>
        <v>5.9123122885656167</v>
      </c>
      <c r="AG19" s="249">
        <f t="shared" ref="AG19:AI19" si="5">AG4*0.039</f>
        <v>5.4649898672148352</v>
      </c>
      <c r="AH19" s="249">
        <f t="shared" si="5"/>
        <v>4.7102183969629285</v>
      </c>
      <c r="AI19" s="249">
        <f t="shared" si="5"/>
        <v>3.9595351907092358</v>
      </c>
    </row>
    <row r="20" spans="1:65" ht="15.75" x14ac:dyDescent="0.25">
      <c r="B20" s="270" t="s">
        <v>130</v>
      </c>
      <c r="C20" s="270"/>
      <c r="D20" s="270"/>
      <c r="E20" s="270"/>
      <c r="F20" s="2"/>
      <c r="G20" s="269" t="s">
        <v>40</v>
      </c>
      <c r="H20" s="269"/>
      <c r="I20" s="269"/>
      <c r="J20" s="269"/>
      <c r="K20" s="269"/>
      <c r="L20" s="269"/>
      <c r="M20" s="269"/>
      <c r="N20" s="19"/>
      <c r="O20" s="19"/>
      <c r="P20" s="19"/>
      <c r="Q20" s="19"/>
      <c r="R20" s="19"/>
      <c r="S20" s="19"/>
      <c r="T20" s="11"/>
      <c r="U20" s="11"/>
      <c r="V20" s="11"/>
      <c r="W20" s="11"/>
      <c r="X20" s="91" t="s">
        <v>41</v>
      </c>
      <c r="Y20" s="211"/>
      <c r="Z20" s="19"/>
      <c r="AA20" s="19"/>
      <c r="AB20" s="2"/>
      <c r="AC20" s="2"/>
      <c r="AD20" s="2"/>
      <c r="AE20" s="2"/>
      <c r="AF20" s="2"/>
      <c r="AG20" s="2"/>
      <c r="AH20" s="2"/>
      <c r="AI20" s="2"/>
      <c r="AJ20" s="2"/>
      <c r="AL20" s="4"/>
      <c r="AM20" s="4"/>
      <c r="AN20" s="4"/>
    </row>
    <row r="21" spans="1:65" s="4" customFormat="1" ht="15.75" x14ac:dyDescent="0.25">
      <c r="A21" s="108" t="s">
        <v>42</v>
      </c>
      <c r="B21" s="11" t="s">
        <v>192</v>
      </c>
      <c r="C21" s="11" t="s">
        <v>193</v>
      </c>
      <c r="D21" s="11" t="s">
        <v>194</v>
      </c>
      <c r="E21" s="11" t="s">
        <v>195</v>
      </c>
      <c r="F21" s="237" t="s">
        <v>43</v>
      </c>
      <c r="G21" s="237" t="s">
        <v>44</v>
      </c>
      <c r="H21" s="237" t="s">
        <v>45</v>
      </c>
      <c r="I21" s="237" t="s">
        <v>46</v>
      </c>
      <c r="J21" s="237" t="s">
        <v>47</v>
      </c>
      <c r="K21" s="237" t="s">
        <v>48</v>
      </c>
      <c r="L21" s="237" t="s">
        <v>49</v>
      </c>
      <c r="M21" s="237" t="s">
        <v>50</v>
      </c>
      <c r="N21" s="237" t="s">
        <v>51</v>
      </c>
      <c r="O21" s="238" t="s">
        <v>52</v>
      </c>
      <c r="P21" s="239" t="s">
        <v>54</v>
      </c>
      <c r="Q21" s="239" t="s">
        <v>149</v>
      </c>
      <c r="R21" s="239" t="s">
        <v>150</v>
      </c>
      <c r="S21" s="239" t="s">
        <v>151</v>
      </c>
      <c r="T21" s="240" t="s">
        <v>55</v>
      </c>
      <c r="U21" s="240" t="s">
        <v>152</v>
      </c>
      <c r="V21" s="240" t="s">
        <v>153</v>
      </c>
      <c r="W21" s="240" t="s">
        <v>154</v>
      </c>
      <c r="X21" s="240" t="s">
        <v>7</v>
      </c>
      <c r="Y21" s="240" t="s">
        <v>155</v>
      </c>
      <c r="Z21" s="240" t="s">
        <v>156</v>
      </c>
      <c r="AA21" s="240" t="s">
        <v>157</v>
      </c>
      <c r="AB21" s="240" t="s">
        <v>158</v>
      </c>
      <c r="AC21" s="240" t="s">
        <v>159</v>
      </c>
      <c r="AD21" s="240" t="s">
        <v>160</v>
      </c>
      <c r="AE21" s="240" t="s">
        <v>161</v>
      </c>
      <c r="AF21" s="240" t="s">
        <v>162</v>
      </c>
      <c r="AG21" s="240" t="s">
        <v>163</v>
      </c>
      <c r="AH21" s="240" t="s">
        <v>164</v>
      </c>
      <c r="AI21" s="240" t="s">
        <v>165</v>
      </c>
      <c r="AJ21" s="240" t="s">
        <v>166</v>
      </c>
      <c r="AK21" s="240" t="s">
        <v>167</v>
      </c>
      <c r="AL21" s="240" t="s">
        <v>168</v>
      </c>
      <c r="AM21" s="240" t="s">
        <v>169</v>
      </c>
      <c r="AN21" s="240" t="s">
        <v>170</v>
      </c>
      <c r="AO21" s="240" t="s">
        <v>171</v>
      </c>
      <c r="AP21" s="240" t="s">
        <v>172</v>
      </c>
      <c r="AQ21" s="240" t="s">
        <v>173</v>
      </c>
      <c r="AR21" s="240" t="s">
        <v>174</v>
      </c>
      <c r="AS21" s="240" t="s">
        <v>175</v>
      </c>
      <c r="AT21" s="240" t="s">
        <v>176</v>
      </c>
      <c r="AU21" s="240" t="s">
        <v>177</v>
      </c>
      <c r="AV21" s="241" t="s">
        <v>56</v>
      </c>
      <c r="AW21" s="241" t="s">
        <v>178</v>
      </c>
      <c r="AX21" s="241" t="s">
        <v>179</v>
      </c>
      <c r="AY21" s="241" t="s">
        <v>180</v>
      </c>
      <c r="AZ21" s="242" t="s">
        <v>57</v>
      </c>
      <c r="BA21" s="242" t="s">
        <v>181</v>
      </c>
      <c r="BB21" s="242" t="s">
        <v>182</v>
      </c>
      <c r="BC21" s="242" t="s">
        <v>183</v>
      </c>
      <c r="BD21" s="1"/>
      <c r="BE21" s="1"/>
      <c r="BF21" s="1"/>
      <c r="BG21" s="1"/>
      <c r="BH21" s="1"/>
      <c r="BL21" s="1"/>
      <c r="BM21" s="1"/>
    </row>
    <row r="22" spans="1:65" x14ac:dyDescent="0.2">
      <c r="A22" s="110" t="s">
        <v>134</v>
      </c>
      <c r="B22" s="102"/>
      <c r="C22" s="102"/>
      <c r="D22" s="102"/>
      <c r="E22" s="102"/>
      <c r="F22" s="183">
        <v>1</v>
      </c>
      <c r="G22" s="184">
        <v>1</v>
      </c>
      <c r="H22" s="185">
        <v>11</v>
      </c>
      <c r="I22" s="186">
        <v>71</v>
      </c>
      <c r="J22" s="186">
        <v>166</v>
      </c>
      <c r="K22" s="186">
        <v>526</v>
      </c>
      <c r="L22" s="185">
        <v>6.2</v>
      </c>
      <c r="M22" s="185">
        <v>2.7</v>
      </c>
      <c r="N22" s="186">
        <v>120</v>
      </c>
      <c r="O22" s="243">
        <v>0</v>
      </c>
      <c r="P22" s="41">
        <f t="shared" ref="P22:S25" si="6">B22*$F22</f>
        <v>0</v>
      </c>
      <c r="Q22" s="41">
        <f t="shared" si="6"/>
        <v>0</v>
      </c>
      <c r="R22" s="41">
        <f t="shared" si="6"/>
        <v>0</v>
      </c>
      <c r="S22" s="41">
        <f t="shared" si="6"/>
        <v>0</v>
      </c>
      <c r="T22" s="41">
        <f t="shared" ref="T22:T25" si="7">P22*$G22</f>
        <v>0</v>
      </c>
      <c r="U22" s="41">
        <f t="shared" ref="U22:U25" si="8">Q22*$G22</f>
        <v>0</v>
      </c>
      <c r="V22" s="41">
        <f t="shared" ref="V22:V25" si="9">R22*$G22</f>
        <v>0</v>
      </c>
      <c r="W22" s="41">
        <f t="shared" ref="W22:W25" si="10">S22*$G22</f>
        <v>0</v>
      </c>
      <c r="X22" s="41">
        <f t="shared" ref="X22:X25" si="11">$H22*P22</f>
        <v>0</v>
      </c>
      <c r="Y22" s="41">
        <f t="shared" ref="Y22:Y25" si="12">$H22*Q22</f>
        <v>0</v>
      </c>
      <c r="Z22" s="41">
        <f t="shared" ref="Z22:Z25" si="13">$H22*R22</f>
        <v>0</v>
      </c>
      <c r="AA22" s="41">
        <f t="shared" ref="AA22:AA25" si="14">$H22*S22</f>
        <v>0</v>
      </c>
      <c r="AB22" s="41">
        <f t="shared" ref="AB22:AB25" si="15">P22*$I22</f>
        <v>0</v>
      </c>
      <c r="AC22" s="41">
        <f t="shared" ref="AC22:AC25" si="16">Q22*$I22</f>
        <v>0</v>
      </c>
      <c r="AD22" s="41">
        <f t="shared" ref="AD22:AD25" si="17">R22*$I22</f>
        <v>0</v>
      </c>
      <c r="AE22" s="41">
        <f t="shared" ref="AE22:AE25" si="18">S22*$I22</f>
        <v>0</v>
      </c>
      <c r="AF22" s="41">
        <f t="shared" ref="AF22:AF25" si="19">P22*$J22</f>
        <v>0</v>
      </c>
      <c r="AG22" s="41">
        <f t="shared" ref="AG22:AG25" si="20">Q22*$J22</f>
        <v>0</v>
      </c>
      <c r="AH22" s="41">
        <f t="shared" ref="AH22:AH25" si="21">R22*$J22</f>
        <v>0</v>
      </c>
      <c r="AI22" s="41">
        <f t="shared" ref="AI22:AI25" si="22">S22*$J22</f>
        <v>0</v>
      </c>
      <c r="AJ22" s="41">
        <f t="shared" ref="AJ22:AJ25" si="23">P22*$K22</f>
        <v>0</v>
      </c>
      <c r="AK22" s="41">
        <f t="shared" ref="AK22:AK25" si="24">Q22*$K22</f>
        <v>0</v>
      </c>
      <c r="AL22" s="41">
        <f t="shared" ref="AL22:AL25" si="25">R22*$K22</f>
        <v>0</v>
      </c>
      <c r="AM22" s="41">
        <f t="shared" ref="AM22:AM25" si="26">S22*$K22</f>
        <v>0</v>
      </c>
      <c r="AN22" s="41">
        <f t="shared" ref="AN22:AN25" si="27">P22*$L22</f>
        <v>0</v>
      </c>
      <c r="AO22" s="41">
        <f t="shared" ref="AO22:AO25" si="28">Q22*$L22</f>
        <v>0</v>
      </c>
      <c r="AP22" s="41">
        <f t="shared" ref="AP22:AP25" si="29">R22*$L22</f>
        <v>0</v>
      </c>
      <c r="AQ22" s="41">
        <f t="shared" ref="AQ22:AQ25" si="30">S22*$L22</f>
        <v>0</v>
      </c>
      <c r="AR22" s="41">
        <f t="shared" ref="AR22:AR25" si="31">P22*$M22</f>
        <v>0</v>
      </c>
      <c r="AS22" s="41">
        <f t="shared" ref="AS22:AS25" si="32">Q22*$M22</f>
        <v>0</v>
      </c>
      <c r="AT22" s="41">
        <f t="shared" ref="AT22:AT25" si="33">R22*$M22</f>
        <v>0</v>
      </c>
      <c r="AU22" s="41">
        <f t="shared" ref="AU22:AU25" si="34">S22*$M22</f>
        <v>0</v>
      </c>
      <c r="AV22" s="43">
        <f t="shared" ref="AV22:AY25" si="35">$N22*B22/100</f>
        <v>0</v>
      </c>
      <c r="AW22" s="43">
        <f t="shared" si="35"/>
        <v>0</v>
      </c>
      <c r="AX22" s="43">
        <f t="shared" si="35"/>
        <v>0</v>
      </c>
      <c r="AY22" s="43">
        <f t="shared" si="35"/>
        <v>0</v>
      </c>
      <c r="AZ22" s="43">
        <f t="shared" ref="AZ22:AZ25" si="36">$O22*AF22</f>
        <v>0</v>
      </c>
      <c r="BA22" s="43">
        <f t="shared" ref="BA22:BA25" si="37">$O22*AG22</f>
        <v>0</v>
      </c>
      <c r="BB22" s="43">
        <f t="shared" ref="BB22:BB25" si="38">$O22*AH22</f>
        <v>0</v>
      </c>
      <c r="BC22" s="43">
        <f t="shared" ref="BC22:BC25" si="39">$O22*AI22</f>
        <v>0</v>
      </c>
      <c r="BI22" s="4"/>
      <c r="BJ22" s="4"/>
      <c r="BK22" s="4"/>
    </row>
    <row r="23" spans="1:65" x14ac:dyDescent="0.2">
      <c r="A23" s="110" t="s">
        <v>135</v>
      </c>
      <c r="B23" s="102"/>
      <c r="C23" s="102"/>
      <c r="D23" s="102"/>
      <c r="E23" s="102"/>
      <c r="F23" s="32">
        <v>0.85</v>
      </c>
      <c r="G23" s="6">
        <v>1</v>
      </c>
      <c r="H23" s="7">
        <v>6.6</v>
      </c>
      <c r="I23" s="8">
        <v>45</v>
      </c>
      <c r="J23" s="8">
        <v>69</v>
      </c>
      <c r="K23" s="8">
        <v>748</v>
      </c>
      <c r="L23" s="7">
        <v>7.5</v>
      </c>
      <c r="M23" s="7">
        <v>2.2999999999999998</v>
      </c>
      <c r="N23" s="8">
        <v>90</v>
      </c>
      <c r="O23" s="9">
        <v>0</v>
      </c>
      <c r="P23" s="41">
        <f t="shared" si="6"/>
        <v>0</v>
      </c>
      <c r="Q23" s="41">
        <f t="shared" si="6"/>
        <v>0</v>
      </c>
      <c r="R23" s="41">
        <f t="shared" si="6"/>
        <v>0</v>
      </c>
      <c r="S23" s="41">
        <f t="shared" si="6"/>
        <v>0</v>
      </c>
      <c r="T23" s="41">
        <f t="shared" si="7"/>
        <v>0</v>
      </c>
      <c r="U23" s="41">
        <f t="shared" si="8"/>
        <v>0</v>
      </c>
      <c r="V23" s="41">
        <f t="shared" si="9"/>
        <v>0</v>
      </c>
      <c r="W23" s="41">
        <f t="shared" si="10"/>
        <v>0</v>
      </c>
      <c r="X23" s="41">
        <f t="shared" si="11"/>
        <v>0</v>
      </c>
      <c r="Y23" s="41">
        <f t="shared" si="12"/>
        <v>0</v>
      </c>
      <c r="Z23" s="41">
        <f t="shared" si="13"/>
        <v>0</v>
      </c>
      <c r="AA23" s="41">
        <f t="shared" si="14"/>
        <v>0</v>
      </c>
      <c r="AB23" s="41">
        <f t="shared" si="15"/>
        <v>0</v>
      </c>
      <c r="AC23" s="41">
        <f t="shared" si="16"/>
        <v>0</v>
      </c>
      <c r="AD23" s="41">
        <f t="shared" si="17"/>
        <v>0</v>
      </c>
      <c r="AE23" s="41">
        <f t="shared" si="18"/>
        <v>0</v>
      </c>
      <c r="AF23" s="41">
        <f t="shared" si="19"/>
        <v>0</v>
      </c>
      <c r="AG23" s="41">
        <f t="shared" si="20"/>
        <v>0</v>
      </c>
      <c r="AH23" s="41">
        <f t="shared" si="21"/>
        <v>0</v>
      </c>
      <c r="AI23" s="41">
        <f t="shared" si="22"/>
        <v>0</v>
      </c>
      <c r="AJ23" s="41">
        <f t="shared" si="23"/>
        <v>0</v>
      </c>
      <c r="AK23" s="41">
        <f t="shared" si="24"/>
        <v>0</v>
      </c>
      <c r="AL23" s="41">
        <f t="shared" si="25"/>
        <v>0</v>
      </c>
      <c r="AM23" s="41">
        <f t="shared" si="26"/>
        <v>0</v>
      </c>
      <c r="AN23" s="41">
        <f t="shared" si="27"/>
        <v>0</v>
      </c>
      <c r="AO23" s="41">
        <f t="shared" si="28"/>
        <v>0</v>
      </c>
      <c r="AP23" s="41">
        <f t="shared" si="29"/>
        <v>0</v>
      </c>
      <c r="AQ23" s="41">
        <f t="shared" si="30"/>
        <v>0</v>
      </c>
      <c r="AR23" s="41">
        <f t="shared" si="31"/>
        <v>0</v>
      </c>
      <c r="AS23" s="41">
        <f t="shared" si="32"/>
        <v>0</v>
      </c>
      <c r="AT23" s="41">
        <f t="shared" si="33"/>
        <v>0</v>
      </c>
      <c r="AU23" s="41">
        <f t="shared" si="34"/>
        <v>0</v>
      </c>
      <c r="AV23" s="43">
        <f t="shared" si="35"/>
        <v>0</v>
      </c>
      <c r="AW23" s="43">
        <f t="shared" si="35"/>
        <v>0</v>
      </c>
      <c r="AX23" s="43">
        <f t="shared" si="35"/>
        <v>0</v>
      </c>
      <c r="AY23" s="43">
        <f t="shared" si="35"/>
        <v>0</v>
      </c>
      <c r="AZ23" s="43">
        <f t="shared" si="36"/>
        <v>0</v>
      </c>
      <c r="BA23" s="43">
        <f t="shared" si="37"/>
        <v>0</v>
      </c>
      <c r="BB23" s="43">
        <f t="shared" si="38"/>
        <v>0</v>
      </c>
      <c r="BC23" s="43">
        <f t="shared" si="39"/>
        <v>0</v>
      </c>
    </row>
    <row r="24" spans="1:65" s="4" customFormat="1" x14ac:dyDescent="0.2">
      <c r="A24" s="110" t="s">
        <v>136</v>
      </c>
      <c r="B24" s="102"/>
      <c r="C24" s="102"/>
      <c r="D24" s="102"/>
      <c r="E24" s="102"/>
      <c r="F24" s="31">
        <v>0.84</v>
      </c>
      <c r="G24" s="6">
        <v>1</v>
      </c>
      <c r="H24" s="7">
        <v>10</v>
      </c>
      <c r="I24" s="8">
        <v>69</v>
      </c>
      <c r="J24" s="8">
        <v>90</v>
      </c>
      <c r="K24" s="8">
        <v>650</v>
      </c>
      <c r="L24" s="7">
        <v>5</v>
      </c>
      <c r="M24" s="7">
        <v>3.6</v>
      </c>
      <c r="N24" s="8">
        <v>140</v>
      </c>
      <c r="O24" s="9">
        <v>0</v>
      </c>
      <c r="P24" s="41">
        <f t="shared" si="6"/>
        <v>0</v>
      </c>
      <c r="Q24" s="41">
        <f t="shared" si="6"/>
        <v>0</v>
      </c>
      <c r="R24" s="41">
        <f t="shared" si="6"/>
        <v>0</v>
      </c>
      <c r="S24" s="41">
        <f t="shared" si="6"/>
        <v>0</v>
      </c>
      <c r="T24" s="41">
        <f t="shared" si="7"/>
        <v>0</v>
      </c>
      <c r="U24" s="41">
        <f t="shared" si="8"/>
        <v>0</v>
      </c>
      <c r="V24" s="41">
        <f t="shared" si="9"/>
        <v>0</v>
      </c>
      <c r="W24" s="41">
        <f t="shared" si="10"/>
        <v>0</v>
      </c>
      <c r="X24" s="41">
        <f t="shared" si="11"/>
        <v>0</v>
      </c>
      <c r="Y24" s="41">
        <f t="shared" si="12"/>
        <v>0</v>
      </c>
      <c r="Z24" s="41">
        <f t="shared" si="13"/>
        <v>0</v>
      </c>
      <c r="AA24" s="41">
        <f t="shared" si="14"/>
        <v>0</v>
      </c>
      <c r="AB24" s="41">
        <f t="shared" si="15"/>
        <v>0</v>
      </c>
      <c r="AC24" s="41">
        <f t="shared" si="16"/>
        <v>0</v>
      </c>
      <c r="AD24" s="41">
        <f t="shared" si="17"/>
        <v>0</v>
      </c>
      <c r="AE24" s="41">
        <f t="shared" si="18"/>
        <v>0</v>
      </c>
      <c r="AF24" s="41">
        <f t="shared" si="19"/>
        <v>0</v>
      </c>
      <c r="AG24" s="41">
        <f t="shared" si="20"/>
        <v>0</v>
      </c>
      <c r="AH24" s="41">
        <f t="shared" si="21"/>
        <v>0</v>
      </c>
      <c r="AI24" s="41">
        <f t="shared" si="22"/>
        <v>0</v>
      </c>
      <c r="AJ24" s="41">
        <f t="shared" si="23"/>
        <v>0</v>
      </c>
      <c r="AK24" s="41">
        <f t="shared" si="24"/>
        <v>0</v>
      </c>
      <c r="AL24" s="41">
        <f t="shared" si="25"/>
        <v>0</v>
      </c>
      <c r="AM24" s="41">
        <f t="shared" si="26"/>
        <v>0</v>
      </c>
      <c r="AN24" s="41">
        <f t="shared" si="27"/>
        <v>0</v>
      </c>
      <c r="AO24" s="41">
        <f t="shared" si="28"/>
        <v>0</v>
      </c>
      <c r="AP24" s="41">
        <f t="shared" si="29"/>
        <v>0</v>
      </c>
      <c r="AQ24" s="41">
        <f t="shared" si="30"/>
        <v>0</v>
      </c>
      <c r="AR24" s="41">
        <f t="shared" si="31"/>
        <v>0</v>
      </c>
      <c r="AS24" s="41">
        <f t="shared" si="32"/>
        <v>0</v>
      </c>
      <c r="AT24" s="41">
        <f t="shared" si="33"/>
        <v>0</v>
      </c>
      <c r="AU24" s="41">
        <f t="shared" si="34"/>
        <v>0</v>
      </c>
      <c r="AV24" s="43">
        <f t="shared" si="35"/>
        <v>0</v>
      </c>
      <c r="AW24" s="43">
        <f t="shared" si="35"/>
        <v>0</v>
      </c>
      <c r="AX24" s="43">
        <f t="shared" si="35"/>
        <v>0</v>
      </c>
      <c r="AY24" s="43">
        <f t="shared" si="35"/>
        <v>0</v>
      </c>
      <c r="AZ24" s="43">
        <f t="shared" si="36"/>
        <v>0</v>
      </c>
      <c r="BA24" s="43">
        <f t="shared" si="37"/>
        <v>0</v>
      </c>
      <c r="BB24" s="43">
        <f t="shared" si="38"/>
        <v>0</v>
      </c>
      <c r="BC24" s="43">
        <f t="shared" si="39"/>
        <v>0</v>
      </c>
      <c r="BD24" s="1"/>
      <c r="BE24" s="1"/>
      <c r="BF24" s="1"/>
      <c r="BG24" s="1"/>
    </row>
    <row r="25" spans="1:65" s="4" customFormat="1" x14ac:dyDescent="0.2">
      <c r="A25" s="110" t="s">
        <v>137</v>
      </c>
      <c r="B25" s="102"/>
      <c r="C25" s="102"/>
      <c r="D25" s="102"/>
      <c r="E25" s="102"/>
      <c r="F25" s="31">
        <v>1</v>
      </c>
      <c r="G25" s="6">
        <v>1</v>
      </c>
      <c r="H25" s="7">
        <v>10.4</v>
      </c>
      <c r="I25" s="8">
        <v>76</v>
      </c>
      <c r="J25" s="8">
        <v>99</v>
      </c>
      <c r="K25" s="8">
        <v>617</v>
      </c>
      <c r="L25" s="7">
        <v>6.5</v>
      </c>
      <c r="M25" s="7">
        <v>2.2999999999999998</v>
      </c>
      <c r="N25" s="8">
        <v>120</v>
      </c>
      <c r="O25" s="9">
        <v>0</v>
      </c>
      <c r="P25" s="41">
        <f t="shared" si="6"/>
        <v>0</v>
      </c>
      <c r="Q25" s="41">
        <f t="shared" si="6"/>
        <v>0</v>
      </c>
      <c r="R25" s="41">
        <f t="shared" si="6"/>
        <v>0</v>
      </c>
      <c r="S25" s="41">
        <f t="shared" si="6"/>
        <v>0</v>
      </c>
      <c r="T25" s="41">
        <f t="shared" si="7"/>
        <v>0</v>
      </c>
      <c r="U25" s="41">
        <f t="shared" si="8"/>
        <v>0</v>
      </c>
      <c r="V25" s="41">
        <f t="shared" si="9"/>
        <v>0</v>
      </c>
      <c r="W25" s="41">
        <f t="shared" si="10"/>
        <v>0</v>
      </c>
      <c r="X25" s="41">
        <f t="shared" si="11"/>
        <v>0</v>
      </c>
      <c r="Y25" s="41">
        <f t="shared" si="12"/>
        <v>0</v>
      </c>
      <c r="Z25" s="41">
        <f t="shared" si="13"/>
        <v>0</v>
      </c>
      <c r="AA25" s="41">
        <f t="shared" si="14"/>
        <v>0</v>
      </c>
      <c r="AB25" s="41">
        <f t="shared" si="15"/>
        <v>0</v>
      </c>
      <c r="AC25" s="41">
        <f t="shared" si="16"/>
        <v>0</v>
      </c>
      <c r="AD25" s="41">
        <f t="shared" si="17"/>
        <v>0</v>
      </c>
      <c r="AE25" s="41">
        <f t="shared" si="18"/>
        <v>0</v>
      </c>
      <c r="AF25" s="41">
        <f t="shared" si="19"/>
        <v>0</v>
      </c>
      <c r="AG25" s="41">
        <f t="shared" si="20"/>
        <v>0</v>
      </c>
      <c r="AH25" s="41">
        <f t="shared" si="21"/>
        <v>0</v>
      </c>
      <c r="AI25" s="41">
        <f t="shared" si="22"/>
        <v>0</v>
      </c>
      <c r="AJ25" s="41">
        <f t="shared" si="23"/>
        <v>0</v>
      </c>
      <c r="AK25" s="41">
        <f t="shared" si="24"/>
        <v>0</v>
      </c>
      <c r="AL25" s="41">
        <f t="shared" si="25"/>
        <v>0</v>
      </c>
      <c r="AM25" s="41">
        <f t="shared" si="26"/>
        <v>0</v>
      </c>
      <c r="AN25" s="41">
        <f t="shared" si="27"/>
        <v>0</v>
      </c>
      <c r="AO25" s="41">
        <f t="shared" si="28"/>
        <v>0</v>
      </c>
      <c r="AP25" s="41">
        <f t="shared" si="29"/>
        <v>0</v>
      </c>
      <c r="AQ25" s="41">
        <f t="shared" si="30"/>
        <v>0</v>
      </c>
      <c r="AR25" s="41">
        <f t="shared" si="31"/>
        <v>0</v>
      </c>
      <c r="AS25" s="41">
        <f t="shared" si="32"/>
        <v>0</v>
      </c>
      <c r="AT25" s="41">
        <f t="shared" si="33"/>
        <v>0</v>
      </c>
      <c r="AU25" s="41">
        <f t="shared" si="34"/>
        <v>0</v>
      </c>
      <c r="AV25" s="43">
        <f t="shared" si="35"/>
        <v>0</v>
      </c>
      <c r="AW25" s="43">
        <f t="shared" si="35"/>
        <v>0</v>
      </c>
      <c r="AX25" s="43">
        <f t="shared" si="35"/>
        <v>0</v>
      </c>
      <c r="AY25" s="43">
        <f t="shared" si="35"/>
        <v>0</v>
      </c>
      <c r="AZ25" s="43">
        <f t="shared" si="36"/>
        <v>0</v>
      </c>
      <c r="BA25" s="43">
        <f t="shared" si="37"/>
        <v>0</v>
      </c>
      <c r="BB25" s="43">
        <f t="shared" si="38"/>
        <v>0</v>
      </c>
      <c r="BC25" s="43">
        <f t="shared" si="39"/>
        <v>0</v>
      </c>
      <c r="BD25" s="1"/>
      <c r="BE25" s="1"/>
      <c r="BF25" s="1"/>
      <c r="BG25" s="1"/>
      <c r="BH25" s="1"/>
      <c r="BL25" s="1"/>
      <c r="BM25" s="1"/>
    </row>
    <row r="26" spans="1:65" x14ac:dyDescent="0.2">
      <c r="A26" s="110" t="s">
        <v>138</v>
      </c>
      <c r="B26" s="102"/>
      <c r="C26" s="102"/>
      <c r="D26" s="102"/>
      <c r="E26" s="102"/>
      <c r="F26" s="31">
        <v>0.87</v>
      </c>
      <c r="G26" s="6">
        <v>0</v>
      </c>
      <c r="H26" s="7">
        <v>12.9</v>
      </c>
      <c r="I26" s="8">
        <v>79</v>
      </c>
      <c r="J26" s="8">
        <v>300</v>
      </c>
      <c r="K26" s="8">
        <v>219</v>
      </c>
      <c r="L26" s="7">
        <v>4</v>
      </c>
      <c r="M26" s="7">
        <v>4.8</v>
      </c>
      <c r="N26" s="8">
        <v>240</v>
      </c>
      <c r="O26" s="9">
        <v>1</v>
      </c>
      <c r="P26" s="41">
        <f t="shared" ref="P26:S32" si="40">B25*$F25</f>
        <v>0</v>
      </c>
      <c r="Q26" s="41">
        <f t="shared" si="40"/>
        <v>0</v>
      </c>
      <c r="R26" s="41">
        <f t="shared" si="40"/>
        <v>0</v>
      </c>
      <c r="S26" s="41">
        <f t="shared" si="40"/>
        <v>0</v>
      </c>
      <c r="T26" s="41">
        <f t="shared" ref="T26:W32" si="41">P26*$G25</f>
        <v>0</v>
      </c>
      <c r="U26" s="41">
        <f t="shared" si="41"/>
        <v>0</v>
      </c>
      <c r="V26" s="41">
        <f t="shared" si="41"/>
        <v>0</v>
      </c>
      <c r="W26" s="41">
        <f t="shared" si="41"/>
        <v>0</v>
      </c>
      <c r="X26" s="41">
        <f t="shared" ref="X26:AA32" si="42">$H25*P26</f>
        <v>0</v>
      </c>
      <c r="Y26" s="41">
        <f t="shared" si="42"/>
        <v>0</v>
      </c>
      <c r="Z26" s="41">
        <f t="shared" si="42"/>
        <v>0</v>
      </c>
      <c r="AA26" s="41">
        <f t="shared" si="42"/>
        <v>0</v>
      </c>
      <c r="AB26" s="41">
        <f t="shared" ref="AB26:AE32" si="43">P26*$I25</f>
        <v>0</v>
      </c>
      <c r="AC26" s="41">
        <f t="shared" si="43"/>
        <v>0</v>
      </c>
      <c r="AD26" s="41">
        <f t="shared" si="43"/>
        <v>0</v>
      </c>
      <c r="AE26" s="41">
        <f t="shared" si="43"/>
        <v>0</v>
      </c>
      <c r="AF26" s="41">
        <f t="shared" ref="AF26:AI32" si="44">P26*$J25</f>
        <v>0</v>
      </c>
      <c r="AG26" s="41">
        <f t="shared" si="44"/>
        <v>0</v>
      </c>
      <c r="AH26" s="41">
        <f t="shared" si="44"/>
        <v>0</v>
      </c>
      <c r="AI26" s="41">
        <f t="shared" si="44"/>
        <v>0</v>
      </c>
      <c r="AJ26" s="41">
        <f t="shared" ref="AJ26:AM32" si="45">P26*$K25</f>
        <v>0</v>
      </c>
      <c r="AK26" s="41">
        <f t="shared" si="45"/>
        <v>0</v>
      </c>
      <c r="AL26" s="41">
        <f t="shared" si="45"/>
        <v>0</v>
      </c>
      <c r="AM26" s="41">
        <f t="shared" si="45"/>
        <v>0</v>
      </c>
      <c r="AN26" s="41">
        <f t="shared" ref="AN26:AQ32" si="46">P26*$L25</f>
        <v>0</v>
      </c>
      <c r="AO26" s="41">
        <f t="shared" si="46"/>
        <v>0</v>
      </c>
      <c r="AP26" s="41">
        <f t="shared" si="46"/>
        <v>0</v>
      </c>
      <c r="AQ26" s="41">
        <f t="shared" si="46"/>
        <v>0</v>
      </c>
      <c r="AR26" s="41">
        <f t="shared" ref="AR26:AT32" si="47">P26*$M25</f>
        <v>0</v>
      </c>
      <c r="AS26" s="41">
        <f t="shared" si="47"/>
        <v>0</v>
      </c>
      <c r="AT26" s="41">
        <f t="shared" si="47"/>
        <v>0</v>
      </c>
      <c r="AU26" s="41">
        <f t="shared" ref="AU26:AU27" si="48">S26*$M26</f>
        <v>0</v>
      </c>
      <c r="AV26" s="43">
        <f t="shared" ref="AV26:AY32" si="49">$N25*B25/100</f>
        <v>0</v>
      </c>
      <c r="AW26" s="43">
        <f t="shared" si="49"/>
        <v>0</v>
      </c>
      <c r="AX26" s="43">
        <f t="shared" si="49"/>
        <v>0</v>
      </c>
      <c r="AY26" s="43">
        <f t="shared" si="49"/>
        <v>0</v>
      </c>
      <c r="AZ26" s="43">
        <f t="shared" ref="AZ26:BC32" si="50">$O25*AF26</f>
        <v>0</v>
      </c>
      <c r="BA26" s="43">
        <f t="shared" si="50"/>
        <v>0</v>
      </c>
      <c r="BB26" s="43">
        <f t="shared" si="50"/>
        <v>0</v>
      </c>
      <c r="BC26" s="43">
        <f t="shared" si="50"/>
        <v>0</v>
      </c>
      <c r="BH26" s="4"/>
      <c r="BI26" s="4"/>
      <c r="BJ26" s="4"/>
      <c r="BK26" s="4"/>
    </row>
    <row r="27" spans="1:65" x14ac:dyDescent="0.2">
      <c r="A27" s="110" t="s">
        <v>139</v>
      </c>
      <c r="B27" s="102"/>
      <c r="C27" s="102"/>
      <c r="D27" s="102"/>
      <c r="E27" s="102"/>
      <c r="F27" s="31">
        <v>0.9</v>
      </c>
      <c r="G27" s="200">
        <v>0</v>
      </c>
      <c r="H27" s="202">
        <v>12.2</v>
      </c>
      <c r="I27" s="204">
        <v>22</v>
      </c>
      <c r="J27" s="8">
        <v>384</v>
      </c>
      <c r="K27" s="8">
        <v>332</v>
      </c>
      <c r="L27" s="202">
        <v>8</v>
      </c>
      <c r="M27" s="202">
        <v>12</v>
      </c>
      <c r="N27" s="8">
        <v>460</v>
      </c>
      <c r="O27" s="9">
        <v>1</v>
      </c>
      <c r="P27" s="41">
        <f t="shared" si="40"/>
        <v>0</v>
      </c>
      <c r="Q27" s="41">
        <f t="shared" si="40"/>
        <v>0</v>
      </c>
      <c r="R27" s="41">
        <f t="shared" si="40"/>
        <v>0</v>
      </c>
      <c r="S27" s="41">
        <f t="shared" si="40"/>
        <v>0</v>
      </c>
      <c r="T27" s="41">
        <f t="shared" si="41"/>
        <v>0</v>
      </c>
      <c r="U27" s="41">
        <f t="shared" si="41"/>
        <v>0</v>
      </c>
      <c r="V27" s="41">
        <f t="shared" si="41"/>
        <v>0</v>
      </c>
      <c r="W27" s="41">
        <f t="shared" si="41"/>
        <v>0</v>
      </c>
      <c r="X27" s="41">
        <f t="shared" si="42"/>
        <v>0</v>
      </c>
      <c r="Y27" s="41">
        <f t="shared" si="42"/>
        <v>0</v>
      </c>
      <c r="Z27" s="41">
        <f t="shared" si="42"/>
        <v>0</v>
      </c>
      <c r="AA27" s="41">
        <f t="shared" si="42"/>
        <v>0</v>
      </c>
      <c r="AB27" s="41">
        <f t="shared" si="43"/>
        <v>0</v>
      </c>
      <c r="AC27" s="41">
        <f t="shared" si="43"/>
        <v>0</v>
      </c>
      <c r="AD27" s="41">
        <f t="shared" si="43"/>
        <v>0</v>
      </c>
      <c r="AE27" s="41">
        <f t="shared" si="43"/>
        <v>0</v>
      </c>
      <c r="AF27" s="41">
        <f t="shared" si="44"/>
        <v>0</v>
      </c>
      <c r="AG27" s="41">
        <f t="shared" si="44"/>
        <v>0</v>
      </c>
      <c r="AH27" s="41">
        <f t="shared" si="44"/>
        <v>0</v>
      </c>
      <c r="AI27" s="41">
        <f t="shared" si="44"/>
        <v>0</v>
      </c>
      <c r="AJ27" s="41">
        <f t="shared" si="45"/>
        <v>0</v>
      </c>
      <c r="AK27" s="41">
        <f t="shared" si="45"/>
        <v>0</v>
      </c>
      <c r="AL27" s="41">
        <f t="shared" si="45"/>
        <v>0</v>
      </c>
      <c r="AM27" s="41">
        <f t="shared" si="45"/>
        <v>0</v>
      </c>
      <c r="AN27" s="41">
        <f t="shared" si="46"/>
        <v>0</v>
      </c>
      <c r="AO27" s="41">
        <f t="shared" si="46"/>
        <v>0</v>
      </c>
      <c r="AP27" s="41">
        <f t="shared" si="46"/>
        <v>0</v>
      </c>
      <c r="AQ27" s="41">
        <f t="shared" si="46"/>
        <v>0</v>
      </c>
      <c r="AR27" s="41">
        <f t="shared" si="47"/>
        <v>0</v>
      </c>
      <c r="AS27" s="41">
        <f t="shared" si="47"/>
        <v>0</v>
      </c>
      <c r="AT27" s="41">
        <f t="shared" si="47"/>
        <v>0</v>
      </c>
      <c r="AU27" s="41">
        <f t="shared" si="48"/>
        <v>0</v>
      </c>
      <c r="AV27" s="43">
        <f t="shared" si="49"/>
        <v>0</v>
      </c>
      <c r="AW27" s="43">
        <f t="shared" si="49"/>
        <v>0</v>
      </c>
      <c r="AX27" s="43">
        <f t="shared" si="49"/>
        <v>0</v>
      </c>
      <c r="AY27" s="43">
        <f t="shared" si="49"/>
        <v>0</v>
      </c>
      <c r="AZ27" s="43">
        <f t="shared" si="50"/>
        <v>0</v>
      </c>
      <c r="BA27" s="43">
        <f t="shared" si="50"/>
        <v>0</v>
      </c>
      <c r="BB27" s="43">
        <f t="shared" si="50"/>
        <v>0</v>
      </c>
      <c r="BC27" s="43">
        <f t="shared" si="50"/>
        <v>0</v>
      </c>
      <c r="BH27" s="4"/>
      <c r="BI27" s="4"/>
      <c r="BJ27" s="4"/>
      <c r="BK27" s="4"/>
      <c r="BL27" s="4"/>
      <c r="BM27" s="4"/>
    </row>
    <row r="28" spans="1:65" x14ac:dyDescent="0.2">
      <c r="A28" s="110" t="s">
        <v>140</v>
      </c>
      <c r="B28" s="102"/>
      <c r="C28" s="102"/>
      <c r="D28" s="102"/>
      <c r="E28" s="102"/>
      <c r="F28" s="31">
        <v>0.84</v>
      </c>
      <c r="G28" s="200">
        <v>0</v>
      </c>
      <c r="H28" s="202">
        <v>12.4</v>
      </c>
      <c r="I28" s="204">
        <v>78</v>
      </c>
      <c r="J28" s="8">
        <v>116</v>
      </c>
      <c r="K28" s="8">
        <v>277</v>
      </c>
      <c r="L28" s="202">
        <v>0.6</v>
      </c>
      <c r="M28" s="202">
        <v>4</v>
      </c>
      <c r="N28" s="8">
        <v>200</v>
      </c>
      <c r="O28" s="9">
        <v>1</v>
      </c>
      <c r="P28" s="41">
        <f t="shared" si="40"/>
        <v>0</v>
      </c>
      <c r="Q28" s="41">
        <f t="shared" si="40"/>
        <v>0</v>
      </c>
      <c r="R28" s="41">
        <f t="shared" si="40"/>
        <v>0</v>
      </c>
      <c r="S28" s="41">
        <f t="shared" si="40"/>
        <v>0</v>
      </c>
      <c r="T28" s="41">
        <f t="shared" si="41"/>
        <v>0</v>
      </c>
      <c r="U28" s="41">
        <f t="shared" si="41"/>
        <v>0</v>
      </c>
      <c r="V28" s="41">
        <f t="shared" si="41"/>
        <v>0</v>
      </c>
      <c r="W28" s="41">
        <f t="shared" si="41"/>
        <v>0</v>
      </c>
      <c r="X28" s="41">
        <f t="shared" si="42"/>
        <v>0</v>
      </c>
      <c r="Y28" s="41">
        <f t="shared" si="42"/>
        <v>0</v>
      </c>
      <c r="Z28" s="41">
        <f t="shared" si="42"/>
        <v>0</v>
      </c>
      <c r="AA28" s="41">
        <f t="shared" si="42"/>
        <v>0</v>
      </c>
      <c r="AB28" s="41">
        <f t="shared" si="43"/>
        <v>0</v>
      </c>
      <c r="AC28" s="41">
        <f t="shared" si="43"/>
        <v>0</v>
      </c>
      <c r="AD28" s="41">
        <f t="shared" si="43"/>
        <v>0</v>
      </c>
      <c r="AE28" s="41">
        <f t="shared" si="43"/>
        <v>0</v>
      </c>
      <c r="AF28" s="41">
        <f t="shared" si="44"/>
        <v>0</v>
      </c>
      <c r="AG28" s="41">
        <f t="shared" si="44"/>
        <v>0</v>
      </c>
      <c r="AH28" s="41">
        <f t="shared" si="44"/>
        <v>0</v>
      </c>
      <c r="AI28" s="41">
        <f t="shared" si="44"/>
        <v>0</v>
      </c>
      <c r="AJ28" s="41">
        <f t="shared" si="45"/>
        <v>0</v>
      </c>
      <c r="AK28" s="41">
        <f t="shared" si="45"/>
        <v>0</v>
      </c>
      <c r="AL28" s="41">
        <f t="shared" si="45"/>
        <v>0</v>
      </c>
      <c r="AM28" s="41">
        <f t="shared" si="45"/>
        <v>0</v>
      </c>
      <c r="AN28" s="41">
        <f t="shared" si="46"/>
        <v>0</v>
      </c>
      <c r="AO28" s="41">
        <f t="shared" si="46"/>
        <v>0</v>
      </c>
      <c r="AP28" s="41">
        <f t="shared" si="46"/>
        <v>0</v>
      </c>
      <c r="AQ28" s="41">
        <f t="shared" si="46"/>
        <v>0</v>
      </c>
      <c r="AR28" s="41">
        <f t="shared" si="47"/>
        <v>0</v>
      </c>
      <c r="AS28" s="41">
        <f t="shared" si="47"/>
        <v>0</v>
      </c>
      <c r="AT28" s="41">
        <f t="shared" si="47"/>
        <v>0</v>
      </c>
      <c r="AU28" s="41">
        <f>S28*$M27</f>
        <v>0</v>
      </c>
      <c r="AV28" s="43">
        <f t="shared" si="49"/>
        <v>0</v>
      </c>
      <c r="AW28" s="43">
        <f t="shared" si="49"/>
        <v>0</v>
      </c>
      <c r="AX28" s="43">
        <f t="shared" si="49"/>
        <v>0</v>
      </c>
      <c r="AY28" s="43">
        <f t="shared" si="49"/>
        <v>0</v>
      </c>
      <c r="AZ28" s="43">
        <f t="shared" si="50"/>
        <v>0</v>
      </c>
      <c r="BA28" s="43">
        <f t="shared" si="50"/>
        <v>0</v>
      </c>
      <c r="BB28" s="43">
        <f t="shared" si="50"/>
        <v>0</v>
      </c>
      <c r="BC28" s="43">
        <f t="shared" si="50"/>
        <v>0</v>
      </c>
      <c r="BH28" s="4"/>
      <c r="BI28" s="4"/>
      <c r="BJ28" s="4"/>
      <c r="BK28" s="4"/>
      <c r="BL28" s="4"/>
      <c r="BM28" s="4"/>
    </row>
    <row r="29" spans="1:65" x14ac:dyDescent="0.2">
      <c r="A29" s="110" t="s">
        <v>141</v>
      </c>
      <c r="B29" s="223"/>
      <c r="C29" s="223"/>
      <c r="D29" s="223"/>
      <c r="E29" s="223"/>
      <c r="F29" s="32">
        <v>1</v>
      </c>
      <c r="G29" s="200">
        <v>1</v>
      </c>
      <c r="H29" s="202">
        <v>0</v>
      </c>
      <c r="I29" s="204">
        <v>0</v>
      </c>
      <c r="J29" s="8">
        <v>0</v>
      </c>
      <c r="K29" s="8">
        <v>0</v>
      </c>
      <c r="L29" s="202">
        <v>159</v>
      </c>
      <c r="M29" s="202">
        <v>1</v>
      </c>
      <c r="N29" s="8">
        <v>830</v>
      </c>
      <c r="O29" s="9">
        <v>1</v>
      </c>
      <c r="P29" s="41">
        <f t="shared" si="40"/>
        <v>0</v>
      </c>
      <c r="Q29" s="41">
        <f t="shared" si="40"/>
        <v>0</v>
      </c>
      <c r="R29" s="41">
        <f t="shared" si="40"/>
        <v>0</v>
      </c>
      <c r="S29" s="41">
        <f t="shared" si="40"/>
        <v>0</v>
      </c>
      <c r="T29" s="41">
        <f t="shared" si="41"/>
        <v>0</v>
      </c>
      <c r="U29" s="41">
        <f t="shared" si="41"/>
        <v>0</v>
      </c>
      <c r="V29" s="41">
        <f t="shared" si="41"/>
        <v>0</v>
      </c>
      <c r="W29" s="41">
        <f t="shared" si="41"/>
        <v>0</v>
      </c>
      <c r="X29" s="41">
        <f t="shared" si="42"/>
        <v>0</v>
      </c>
      <c r="Y29" s="41">
        <f t="shared" si="42"/>
        <v>0</v>
      </c>
      <c r="Z29" s="41">
        <f t="shared" si="42"/>
        <v>0</v>
      </c>
      <c r="AA29" s="41">
        <f t="shared" si="42"/>
        <v>0</v>
      </c>
      <c r="AB29" s="41">
        <f t="shared" si="43"/>
        <v>0</v>
      </c>
      <c r="AC29" s="41">
        <f t="shared" si="43"/>
        <v>0</v>
      </c>
      <c r="AD29" s="41">
        <f t="shared" si="43"/>
        <v>0</v>
      </c>
      <c r="AE29" s="41">
        <f t="shared" si="43"/>
        <v>0</v>
      </c>
      <c r="AF29" s="41">
        <f t="shared" si="44"/>
        <v>0</v>
      </c>
      <c r="AG29" s="41">
        <f t="shared" si="44"/>
        <v>0</v>
      </c>
      <c r="AH29" s="41">
        <f t="shared" si="44"/>
        <v>0</v>
      </c>
      <c r="AI29" s="41">
        <f t="shared" si="44"/>
        <v>0</v>
      </c>
      <c r="AJ29" s="41">
        <f t="shared" si="45"/>
        <v>0</v>
      </c>
      <c r="AK29" s="41">
        <f t="shared" si="45"/>
        <v>0</v>
      </c>
      <c r="AL29" s="41">
        <f t="shared" si="45"/>
        <v>0</v>
      </c>
      <c r="AM29" s="41">
        <f t="shared" si="45"/>
        <v>0</v>
      </c>
      <c r="AN29" s="41">
        <f t="shared" si="46"/>
        <v>0</v>
      </c>
      <c r="AO29" s="41">
        <f t="shared" si="46"/>
        <v>0</v>
      </c>
      <c r="AP29" s="41">
        <f t="shared" si="46"/>
        <v>0</v>
      </c>
      <c r="AQ29" s="41">
        <f t="shared" si="46"/>
        <v>0</v>
      </c>
      <c r="AR29" s="41">
        <f t="shared" si="47"/>
        <v>0</v>
      </c>
      <c r="AS29" s="41">
        <f t="shared" si="47"/>
        <v>0</v>
      </c>
      <c r="AT29" s="41">
        <f t="shared" si="47"/>
        <v>0</v>
      </c>
      <c r="AU29" s="41">
        <f>S29*$M28</f>
        <v>0</v>
      </c>
      <c r="AV29" s="43">
        <f t="shared" si="49"/>
        <v>0</v>
      </c>
      <c r="AW29" s="43">
        <f t="shared" si="49"/>
        <v>0</v>
      </c>
      <c r="AX29" s="43">
        <f t="shared" si="49"/>
        <v>0</v>
      </c>
      <c r="AY29" s="43">
        <f t="shared" si="49"/>
        <v>0</v>
      </c>
      <c r="AZ29" s="43">
        <f t="shared" si="50"/>
        <v>0</v>
      </c>
      <c r="BA29" s="43">
        <f t="shared" si="50"/>
        <v>0</v>
      </c>
      <c r="BB29" s="43">
        <f t="shared" si="50"/>
        <v>0</v>
      </c>
      <c r="BC29" s="43">
        <f t="shared" si="50"/>
        <v>0</v>
      </c>
      <c r="BH29" s="4"/>
      <c r="BI29" s="4"/>
      <c r="BJ29" s="4"/>
      <c r="BK29" s="4"/>
      <c r="BL29" s="4"/>
      <c r="BM29" s="4"/>
    </row>
    <row r="30" spans="1:65" x14ac:dyDescent="0.2">
      <c r="A30" s="110" t="s">
        <v>142</v>
      </c>
      <c r="B30" s="102"/>
      <c r="C30" s="102"/>
      <c r="D30" s="102"/>
      <c r="E30" s="102"/>
      <c r="F30" s="32"/>
      <c r="G30" s="200"/>
      <c r="H30" s="202"/>
      <c r="I30" s="204"/>
      <c r="J30" s="8"/>
      <c r="K30" s="8"/>
      <c r="L30" s="202"/>
      <c r="M30" s="202"/>
      <c r="N30" s="8"/>
      <c r="O30" s="9"/>
      <c r="P30" s="41">
        <f t="shared" si="40"/>
        <v>0</v>
      </c>
      <c r="Q30" s="41">
        <f t="shared" si="40"/>
        <v>0</v>
      </c>
      <c r="R30" s="41">
        <f t="shared" si="40"/>
        <v>0</v>
      </c>
      <c r="S30" s="41">
        <f t="shared" si="40"/>
        <v>0</v>
      </c>
      <c r="T30" s="41">
        <f t="shared" si="41"/>
        <v>0</v>
      </c>
      <c r="U30" s="41">
        <f t="shared" si="41"/>
        <v>0</v>
      </c>
      <c r="V30" s="41">
        <f t="shared" si="41"/>
        <v>0</v>
      </c>
      <c r="W30" s="41">
        <f t="shared" si="41"/>
        <v>0</v>
      </c>
      <c r="X30" s="41">
        <f t="shared" si="42"/>
        <v>0</v>
      </c>
      <c r="Y30" s="41">
        <f t="shared" si="42"/>
        <v>0</v>
      </c>
      <c r="Z30" s="41">
        <f t="shared" si="42"/>
        <v>0</v>
      </c>
      <c r="AA30" s="41">
        <f t="shared" si="42"/>
        <v>0</v>
      </c>
      <c r="AB30" s="41">
        <f t="shared" si="43"/>
        <v>0</v>
      </c>
      <c r="AC30" s="41">
        <f t="shared" si="43"/>
        <v>0</v>
      </c>
      <c r="AD30" s="41">
        <f t="shared" si="43"/>
        <v>0</v>
      </c>
      <c r="AE30" s="41">
        <f t="shared" si="43"/>
        <v>0</v>
      </c>
      <c r="AF30" s="41">
        <f t="shared" si="44"/>
        <v>0</v>
      </c>
      <c r="AG30" s="41">
        <f t="shared" si="44"/>
        <v>0</v>
      </c>
      <c r="AH30" s="41">
        <f t="shared" si="44"/>
        <v>0</v>
      </c>
      <c r="AI30" s="41">
        <f t="shared" si="44"/>
        <v>0</v>
      </c>
      <c r="AJ30" s="41">
        <f t="shared" si="45"/>
        <v>0</v>
      </c>
      <c r="AK30" s="41">
        <f t="shared" si="45"/>
        <v>0</v>
      </c>
      <c r="AL30" s="41">
        <f t="shared" si="45"/>
        <v>0</v>
      </c>
      <c r="AM30" s="41">
        <f t="shared" si="45"/>
        <v>0</v>
      </c>
      <c r="AN30" s="41">
        <f t="shared" si="46"/>
        <v>0</v>
      </c>
      <c r="AO30" s="41">
        <f t="shared" si="46"/>
        <v>0</v>
      </c>
      <c r="AP30" s="41">
        <f t="shared" si="46"/>
        <v>0</v>
      </c>
      <c r="AQ30" s="41">
        <f t="shared" si="46"/>
        <v>0</v>
      </c>
      <c r="AR30" s="41">
        <f t="shared" si="47"/>
        <v>0</v>
      </c>
      <c r="AS30" s="41">
        <f t="shared" si="47"/>
        <v>0</v>
      </c>
      <c r="AT30" s="41">
        <f t="shared" si="47"/>
        <v>0</v>
      </c>
      <c r="AU30" s="41">
        <f>S30*$M29</f>
        <v>0</v>
      </c>
      <c r="AV30" s="43">
        <f t="shared" si="49"/>
        <v>0</v>
      </c>
      <c r="AW30" s="43">
        <f t="shared" si="49"/>
        <v>0</v>
      </c>
      <c r="AX30" s="43">
        <f t="shared" si="49"/>
        <v>0</v>
      </c>
      <c r="AY30" s="43">
        <f t="shared" si="49"/>
        <v>0</v>
      </c>
      <c r="AZ30" s="43">
        <f t="shared" si="50"/>
        <v>0</v>
      </c>
      <c r="BA30" s="43">
        <f t="shared" si="50"/>
        <v>0</v>
      </c>
      <c r="BB30" s="43">
        <f t="shared" si="50"/>
        <v>0</v>
      </c>
      <c r="BC30" s="43">
        <f t="shared" si="50"/>
        <v>0</v>
      </c>
      <c r="BH30" s="4"/>
      <c r="BI30" s="4"/>
      <c r="BJ30" s="4"/>
      <c r="BK30" s="4"/>
    </row>
    <row r="31" spans="1:65" x14ac:dyDescent="0.2">
      <c r="A31" s="110" t="s">
        <v>143</v>
      </c>
      <c r="B31" s="102"/>
      <c r="C31" s="102"/>
      <c r="D31" s="102"/>
      <c r="E31" s="102"/>
      <c r="F31" s="8"/>
      <c r="G31" s="200"/>
      <c r="H31" s="202"/>
      <c r="I31" s="204"/>
      <c r="J31" s="9"/>
      <c r="K31" s="9"/>
      <c r="L31" s="202"/>
      <c r="M31" s="202"/>
      <c r="N31" s="9"/>
      <c r="O31" s="9"/>
      <c r="P31" s="41">
        <f t="shared" si="40"/>
        <v>0</v>
      </c>
      <c r="Q31" s="41">
        <f t="shared" si="40"/>
        <v>0</v>
      </c>
      <c r="R31" s="41">
        <f t="shared" si="40"/>
        <v>0</v>
      </c>
      <c r="S31" s="41">
        <f t="shared" si="40"/>
        <v>0</v>
      </c>
      <c r="T31" s="41">
        <f t="shared" si="41"/>
        <v>0</v>
      </c>
      <c r="U31" s="41">
        <f t="shared" si="41"/>
        <v>0</v>
      </c>
      <c r="V31" s="41">
        <f t="shared" si="41"/>
        <v>0</v>
      </c>
      <c r="W31" s="41">
        <f t="shared" si="41"/>
        <v>0</v>
      </c>
      <c r="X31" s="41">
        <f t="shared" si="42"/>
        <v>0</v>
      </c>
      <c r="Y31" s="41">
        <f t="shared" si="42"/>
        <v>0</v>
      </c>
      <c r="Z31" s="41">
        <f t="shared" si="42"/>
        <v>0</v>
      </c>
      <c r="AA31" s="41">
        <f t="shared" si="42"/>
        <v>0</v>
      </c>
      <c r="AB31" s="41">
        <f t="shared" si="43"/>
        <v>0</v>
      </c>
      <c r="AC31" s="41">
        <f t="shared" si="43"/>
        <v>0</v>
      </c>
      <c r="AD31" s="41">
        <f t="shared" si="43"/>
        <v>0</v>
      </c>
      <c r="AE31" s="41">
        <f t="shared" si="43"/>
        <v>0</v>
      </c>
      <c r="AF31" s="41">
        <f t="shared" si="44"/>
        <v>0</v>
      </c>
      <c r="AG31" s="41">
        <f t="shared" si="44"/>
        <v>0</v>
      </c>
      <c r="AH31" s="41">
        <f t="shared" si="44"/>
        <v>0</v>
      </c>
      <c r="AI31" s="41">
        <f t="shared" si="44"/>
        <v>0</v>
      </c>
      <c r="AJ31" s="41">
        <f t="shared" si="45"/>
        <v>0</v>
      </c>
      <c r="AK31" s="41">
        <f t="shared" si="45"/>
        <v>0</v>
      </c>
      <c r="AL31" s="41">
        <f t="shared" si="45"/>
        <v>0</v>
      </c>
      <c r="AM31" s="41">
        <f t="shared" si="45"/>
        <v>0</v>
      </c>
      <c r="AN31" s="41">
        <f t="shared" si="46"/>
        <v>0</v>
      </c>
      <c r="AO31" s="41">
        <f t="shared" si="46"/>
        <v>0</v>
      </c>
      <c r="AP31" s="41">
        <f t="shared" si="46"/>
        <v>0</v>
      </c>
      <c r="AQ31" s="41">
        <f t="shared" si="46"/>
        <v>0</v>
      </c>
      <c r="AR31" s="41">
        <f t="shared" si="47"/>
        <v>0</v>
      </c>
      <c r="AS31" s="41">
        <f t="shared" si="47"/>
        <v>0</v>
      </c>
      <c r="AT31" s="41">
        <f t="shared" si="47"/>
        <v>0</v>
      </c>
      <c r="AU31" s="41">
        <f>S31*$M30</f>
        <v>0</v>
      </c>
      <c r="AV31" s="43">
        <f t="shared" si="49"/>
        <v>0</v>
      </c>
      <c r="AW31" s="43">
        <f t="shared" si="49"/>
        <v>0</v>
      </c>
      <c r="AX31" s="43">
        <f t="shared" si="49"/>
        <v>0</v>
      </c>
      <c r="AY31" s="43">
        <f t="shared" si="49"/>
        <v>0</v>
      </c>
      <c r="AZ31" s="43">
        <f t="shared" si="50"/>
        <v>0</v>
      </c>
      <c r="BA31" s="43">
        <f t="shared" si="50"/>
        <v>0</v>
      </c>
      <c r="BB31" s="43">
        <f t="shared" si="50"/>
        <v>0</v>
      </c>
      <c r="BC31" s="43">
        <f t="shared" si="50"/>
        <v>0</v>
      </c>
      <c r="BH31" s="4"/>
      <c r="BI31" s="4"/>
      <c r="BJ31" s="4"/>
      <c r="BK31" s="4"/>
    </row>
    <row r="32" spans="1:65" x14ac:dyDescent="0.2">
      <c r="A32" s="110" t="s">
        <v>144</v>
      </c>
      <c r="B32" s="102"/>
      <c r="C32" s="102"/>
      <c r="D32" s="102"/>
      <c r="E32" s="102"/>
      <c r="F32" s="8"/>
      <c r="G32" s="200"/>
      <c r="H32" s="202"/>
      <c r="I32" s="204"/>
      <c r="J32" s="9"/>
      <c r="K32" s="9"/>
      <c r="L32" s="202"/>
      <c r="M32" s="202"/>
      <c r="N32" s="9"/>
      <c r="O32" s="9"/>
      <c r="P32" s="41">
        <f t="shared" si="40"/>
        <v>0</v>
      </c>
      <c r="Q32" s="41">
        <f t="shared" si="40"/>
        <v>0</v>
      </c>
      <c r="R32" s="41">
        <f t="shared" si="40"/>
        <v>0</v>
      </c>
      <c r="S32" s="41">
        <f t="shared" si="40"/>
        <v>0</v>
      </c>
      <c r="T32" s="41">
        <f t="shared" si="41"/>
        <v>0</v>
      </c>
      <c r="U32" s="41">
        <f t="shared" si="41"/>
        <v>0</v>
      </c>
      <c r="V32" s="41">
        <f t="shared" si="41"/>
        <v>0</v>
      </c>
      <c r="W32" s="41">
        <f t="shared" si="41"/>
        <v>0</v>
      </c>
      <c r="X32" s="41">
        <f t="shared" si="42"/>
        <v>0</v>
      </c>
      <c r="Y32" s="41">
        <f t="shared" si="42"/>
        <v>0</v>
      </c>
      <c r="Z32" s="41">
        <f t="shared" si="42"/>
        <v>0</v>
      </c>
      <c r="AA32" s="41">
        <f t="shared" si="42"/>
        <v>0</v>
      </c>
      <c r="AB32" s="41">
        <f t="shared" si="43"/>
        <v>0</v>
      </c>
      <c r="AC32" s="41">
        <f t="shared" si="43"/>
        <v>0</v>
      </c>
      <c r="AD32" s="41">
        <f t="shared" si="43"/>
        <v>0</v>
      </c>
      <c r="AE32" s="41">
        <f t="shared" si="43"/>
        <v>0</v>
      </c>
      <c r="AF32" s="41">
        <f t="shared" si="44"/>
        <v>0</v>
      </c>
      <c r="AG32" s="41">
        <f t="shared" si="44"/>
        <v>0</v>
      </c>
      <c r="AH32" s="41">
        <f t="shared" si="44"/>
        <v>0</v>
      </c>
      <c r="AI32" s="41">
        <f t="shared" si="44"/>
        <v>0</v>
      </c>
      <c r="AJ32" s="41">
        <f t="shared" si="45"/>
        <v>0</v>
      </c>
      <c r="AK32" s="41">
        <f t="shared" si="45"/>
        <v>0</v>
      </c>
      <c r="AL32" s="41">
        <f t="shared" si="45"/>
        <v>0</v>
      </c>
      <c r="AM32" s="41">
        <f t="shared" si="45"/>
        <v>0</v>
      </c>
      <c r="AN32" s="41">
        <f t="shared" si="46"/>
        <v>0</v>
      </c>
      <c r="AO32" s="41">
        <f t="shared" si="46"/>
        <v>0</v>
      </c>
      <c r="AP32" s="41">
        <f t="shared" si="46"/>
        <v>0</v>
      </c>
      <c r="AQ32" s="41">
        <f t="shared" si="46"/>
        <v>0</v>
      </c>
      <c r="AR32" s="41">
        <f t="shared" si="47"/>
        <v>0</v>
      </c>
      <c r="AS32" s="41">
        <f t="shared" si="47"/>
        <v>0</v>
      </c>
      <c r="AT32" s="41">
        <f t="shared" si="47"/>
        <v>0</v>
      </c>
      <c r="AU32" s="41">
        <f>S32*$M31</f>
        <v>0</v>
      </c>
      <c r="AV32" s="43">
        <f t="shared" si="49"/>
        <v>0</v>
      </c>
      <c r="AW32" s="43">
        <f t="shared" si="49"/>
        <v>0</v>
      </c>
      <c r="AX32" s="43">
        <f t="shared" si="49"/>
        <v>0</v>
      </c>
      <c r="AY32" s="43">
        <f t="shared" si="49"/>
        <v>0</v>
      </c>
      <c r="AZ32" s="43">
        <f t="shared" si="50"/>
        <v>0</v>
      </c>
      <c r="BA32" s="43">
        <f t="shared" si="50"/>
        <v>0</v>
      </c>
      <c r="BB32" s="43">
        <f t="shared" si="50"/>
        <v>0</v>
      </c>
      <c r="BC32" s="43">
        <f t="shared" si="50"/>
        <v>0</v>
      </c>
      <c r="BH32" s="4"/>
      <c r="BI32" s="4"/>
      <c r="BJ32" s="4"/>
      <c r="BK32" s="4"/>
    </row>
    <row r="33" spans="1:63" ht="15.75" x14ac:dyDescent="0.25">
      <c r="A33" s="111" t="s">
        <v>67</v>
      </c>
      <c r="B33" s="132">
        <f>SUM(B22:B30)</f>
        <v>0</v>
      </c>
      <c r="C33" s="132">
        <f>SUM(C22:C30)</f>
        <v>0</v>
      </c>
      <c r="D33" s="132">
        <f>SUM(D22:D30)</f>
        <v>0</v>
      </c>
      <c r="E33" s="132">
        <f>SUM(E22:E30)</f>
        <v>0</v>
      </c>
      <c r="F33" s="8"/>
      <c r="G33" s="6"/>
      <c r="H33" s="7"/>
      <c r="I33" s="8"/>
      <c r="J33" s="9"/>
      <c r="K33" s="9"/>
      <c r="L33" s="7"/>
      <c r="M33" s="7"/>
      <c r="N33" s="9"/>
      <c r="O33" s="49"/>
      <c r="P33" s="80">
        <f t="shared" ref="P33:BC33" si="51">SUM(P22:P32)</f>
        <v>0</v>
      </c>
      <c r="Q33" s="80">
        <f t="shared" si="51"/>
        <v>0</v>
      </c>
      <c r="R33" s="80">
        <f t="shared" si="51"/>
        <v>0</v>
      </c>
      <c r="S33" s="80">
        <f t="shared" si="51"/>
        <v>0</v>
      </c>
      <c r="T33" s="80">
        <f t="shared" si="51"/>
        <v>0</v>
      </c>
      <c r="U33" s="80">
        <f t="shared" si="51"/>
        <v>0</v>
      </c>
      <c r="V33" s="80">
        <f t="shared" si="51"/>
        <v>0</v>
      </c>
      <c r="W33" s="80">
        <f t="shared" si="51"/>
        <v>0</v>
      </c>
      <c r="X33" s="80">
        <f t="shared" si="51"/>
        <v>0</v>
      </c>
      <c r="Y33" s="80">
        <f t="shared" si="51"/>
        <v>0</v>
      </c>
      <c r="Z33" s="80">
        <f t="shared" si="51"/>
        <v>0</v>
      </c>
      <c r="AA33" s="80">
        <f t="shared" si="51"/>
        <v>0</v>
      </c>
      <c r="AB33" s="80">
        <f t="shared" si="51"/>
        <v>0</v>
      </c>
      <c r="AC33" s="80">
        <f t="shared" si="51"/>
        <v>0</v>
      </c>
      <c r="AD33" s="80">
        <f t="shared" si="51"/>
        <v>0</v>
      </c>
      <c r="AE33" s="80">
        <f t="shared" si="51"/>
        <v>0</v>
      </c>
      <c r="AF33" s="80">
        <f t="shared" si="51"/>
        <v>0</v>
      </c>
      <c r="AG33" s="80">
        <f t="shared" si="51"/>
        <v>0</v>
      </c>
      <c r="AH33" s="80">
        <f t="shared" si="51"/>
        <v>0</v>
      </c>
      <c r="AI33" s="80">
        <f t="shared" si="51"/>
        <v>0</v>
      </c>
      <c r="AJ33" s="80">
        <f t="shared" si="51"/>
        <v>0</v>
      </c>
      <c r="AK33" s="80">
        <f t="shared" si="51"/>
        <v>0</v>
      </c>
      <c r="AL33" s="80">
        <f t="shared" si="51"/>
        <v>0</v>
      </c>
      <c r="AM33" s="80">
        <f t="shared" si="51"/>
        <v>0</v>
      </c>
      <c r="AN33" s="80">
        <f t="shared" si="51"/>
        <v>0</v>
      </c>
      <c r="AO33" s="80">
        <f t="shared" si="51"/>
        <v>0</v>
      </c>
      <c r="AP33" s="80">
        <f t="shared" si="51"/>
        <v>0</v>
      </c>
      <c r="AQ33" s="80">
        <f t="shared" si="51"/>
        <v>0</v>
      </c>
      <c r="AR33" s="80">
        <f t="shared" si="51"/>
        <v>0</v>
      </c>
      <c r="AS33" s="80">
        <f t="shared" si="51"/>
        <v>0</v>
      </c>
      <c r="AT33" s="80">
        <f t="shared" si="51"/>
        <v>0</v>
      </c>
      <c r="AU33" s="80">
        <f t="shared" si="51"/>
        <v>0</v>
      </c>
      <c r="AV33" s="81">
        <f t="shared" si="51"/>
        <v>0</v>
      </c>
      <c r="AW33" s="81">
        <f t="shared" si="51"/>
        <v>0</v>
      </c>
      <c r="AX33" s="81">
        <f t="shared" si="51"/>
        <v>0</v>
      </c>
      <c r="AY33" s="81">
        <f t="shared" si="51"/>
        <v>0</v>
      </c>
      <c r="AZ33" s="82">
        <f t="shared" si="51"/>
        <v>0</v>
      </c>
      <c r="BA33" s="82">
        <f t="shared" si="51"/>
        <v>0</v>
      </c>
      <c r="BB33" s="82">
        <f t="shared" si="51"/>
        <v>0</v>
      </c>
      <c r="BC33" s="82">
        <f t="shared" si="51"/>
        <v>0</v>
      </c>
      <c r="BH33" s="4"/>
      <c r="BI33" s="4"/>
      <c r="BJ33" s="4"/>
      <c r="BK33" s="4"/>
    </row>
    <row r="34" spans="1:63" x14ac:dyDescent="0.2">
      <c r="A34" s="176"/>
      <c r="B34" s="177"/>
      <c r="C34" s="177"/>
      <c r="D34" s="177"/>
      <c r="E34" s="177"/>
      <c r="F34" s="178"/>
      <c r="G34" s="178"/>
      <c r="H34" s="178"/>
      <c r="I34" s="178"/>
      <c r="J34" s="178"/>
      <c r="K34" s="178"/>
      <c r="L34" s="179"/>
      <c r="M34" s="179"/>
      <c r="N34" s="179"/>
      <c r="O34" s="179"/>
      <c r="P34" s="63" t="e">
        <f>P33/B33</f>
        <v>#DIV/0!</v>
      </c>
      <c r="Q34" s="63" t="e">
        <f>Q33/C33</f>
        <v>#DIV/0!</v>
      </c>
      <c r="R34" s="63" t="e">
        <f>R33/D33</f>
        <v>#DIV/0!</v>
      </c>
      <c r="S34" s="63" t="e">
        <f>S33/E33</f>
        <v>#DIV/0!</v>
      </c>
      <c r="T34" s="137" t="e">
        <f>T33/P33</f>
        <v>#DIV/0!</v>
      </c>
      <c r="U34" s="134" t="e">
        <f>U33/Q33</f>
        <v>#DIV/0!</v>
      </c>
      <c r="V34" s="134" t="e">
        <f>V33/R33</f>
        <v>#DIV/0!</v>
      </c>
      <c r="W34" s="134" t="e">
        <f>W33/S33</f>
        <v>#DIV/0!</v>
      </c>
      <c r="X34" s="136" t="e">
        <f>X33/P33</f>
        <v>#DIV/0!</v>
      </c>
      <c r="Y34" s="64" t="e">
        <f>Y33/Q33</f>
        <v>#DIV/0!</v>
      </c>
      <c r="Z34" s="64" t="e">
        <f>Z33/R33</f>
        <v>#DIV/0!</v>
      </c>
      <c r="AA34" s="64" t="e">
        <f>AA33/S33</f>
        <v>#DIV/0!</v>
      </c>
      <c r="AB34" s="136" t="e">
        <f>AB33/P33</f>
        <v>#DIV/0!</v>
      </c>
      <c r="AC34" s="64" t="e">
        <f>AC33/Q33</f>
        <v>#DIV/0!</v>
      </c>
      <c r="AD34" s="64" t="e">
        <f>AD33/R33</f>
        <v>#DIV/0!</v>
      </c>
      <c r="AE34" s="64" t="e">
        <f>AE33/S33</f>
        <v>#DIV/0!</v>
      </c>
      <c r="AF34" s="136" t="e">
        <f>AF33/P33</f>
        <v>#DIV/0!</v>
      </c>
      <c r="AG34" s="136" t="e">
        <f>AG33/Q33</f>
        <v>#DIV/0!</v>
      </c>
      <c r="AH34" s="136" t="e">
        <f>AH33/R33</f>
        <v>#DIV/0!</v>
      </c>
      <c r="AI34" s="136" t="e">
        <f>AI33/S33</f>
        <v>#DIV/0!</v>
      </c>
      <c r="AJ34" s="64" t="e">
        <f>AJ33/P33</f>
        <v>#DIV/0!</v>
      </c>
      <c r="AK34" s="64" t="e">
        <f>AK33/Q33</f>
        <v>#DIV/0!</v>
      </c>
      <c r="AL34" s="64" t="e">
        <f>AL33/R33</f>
        <v>#DIV/0!</v>
      </c>
      <c r="AM34" s="64" t="e">
        <f>AM33/S33</f>
        <v>#DIV/0!</v>
      </c>
      <c r="AN34" s="64" t="e">
        <f>AN33/P33</f>
        <v>#DIV/0!</v>
      </c>
      <c r="AO34" s="64" t="e">
        <f>AO33/Q33</f>
        <v>#DIV/0!</v>
      </c>
      <c r="AP34" s="64" t="e">
        <f>AP33/R33</f>
        <v>#DIV/0!</v>
      </c>
      <c r="AQ34" s="64" t="e">
        <f>AQ33/S33</f>
        <v>#DIV/0!</v>
      </c>
      <c r="AR34" s="64" t="e">
        <f>AR33/P33</f>
        <v>#DIV/0!</v>
      </c>
      <c r="AS34" s="64" t="e">
        <f>AS33/Q33</f>
        <v>#DIV/0!</v>
      </c>
      <c r="AT34" s="64" t="e">
        <f>AT33/R33</f>
        <v>#DIV/0!</v>
      </c>
      <c r="AU34" s="64" t="e">
        <f>AU33/S33</f>
        <v>#DIV/0!</v>
      </c>
      <c r="AV34" s="65" t="e">
        <f>AV33/P33</f>
        <v>#DIV/0!</v>
      </c>
      <c r="AW34" s="65" t="e">
        <f>AW33/Q33</f>
        <v>#DIV/0!</v>
      </c>
      <c r="AX34" s="65" t="e">
        <f>AX33/R33</f>
        <v>#DIV/0!</v>
      </c>
      <c r="AY34" s="65" t="e">
        <f>AY33/S33</f>
        <v>#DIV/0!</v>
      </c>
      <c r="AZ34" s="64" t="e">
        <f>AZ33/P33</f>
        <v>#DIV/0!</v>
      </c>
      <c r="BA34" s="64" t="e">
        <f>BA33/Q33</f>
        <v>#DIV/0!</v>
      </c>
      <c r="BB34" s="64" t="e">
        <f>BB33/R33</f>
        <v>#DIV/0!</v>
      </c>
      <c r="BC34" s="64" t="e">
        <f>BC33/S33</f>
        <v>#DIV/0!</v>
      </c>
      <c r="BH34" s="4"/>
    </row>
    <row r="35" spans="1:63" ht="15.75" x14ac:dyDescent="0.25">
      <c r="A35" s="180"/>
      <c r="B35" s="177"/>
      <c r="C35" s="177"/>
      <c r="D35" s="177"/>
      <c r="E35" s="177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33" t="s">
        <v>68</v>
      </c>
      <c r="Q35" s="211"/>
      <c r="R35" s="211"/>
      <c r="S35" s="211"/>
      <c r="T35" s="21" t="s">
        <v>69</v>
      </c>
      <c r="U35" s="21"/>
      <c r="V35" s="21"/>
      <c r="W35" s="21"/>
      <c r="X35" s="79" t="s">
        <v>70</v>
      </c>
      <c r="Y35" s="79"/>
      <c r="Z35" s="79"/>
      <c r="AA35" s="79"/>
      <c r="AB35" s="135" t="s">
        <v>71</v>
      </c>
      <c r="AC35" s="135"/>
      <c r="AD35" s="135"/>
      <c r="AE35" s="135"/>
      <c r="AF35" s="66" t="e">
        <f t="shared" ref="AF35:AU35" si="52">AF34/1000</f>
        <v>#DIV/0!</v>
      </c>
      <c r="AG35" s="66" t="e">
        <f t="shared" si="52"/>
        <v>#DIV/0!</v>
      </c>
      <c r="AH35" s="66" t="e">
        <f t="shared" si="52"/>
        <v>#DIV/0!</v>
      </c>
      <c r="AI35" s="66" t="e">
        <f t="shared" si="52"/>
        <v>#DIV/0!</v>
      </c>
      <c r="AJ35" s="66" t="e">
        <f t="shared" si="52"/>
        <v>#DIV/0!</v>
      </c>
      <c r="AK35" s="66" t="e">
        <f t="shared" si="52"/>
        <v>#DIV/0!</v>
      </c>
      <c r="AL35" s="66" t="e">
        <f t="shared" si="52"/>
        <v>#DIV/0!</v>
      </c>
      <c r="AM35" s="66" t="e">
        <f t="shared" si="52"/>
        <v>#DIV/0!</v>
      </c>
      <c r="AN35" s="66" t="e">
        <f t="shared" si="52"/>
        <v>#DIV/0!</v>
      </c>
      <c r="AO35" s="66" t="e">
        <f t="shared" si="52"/>
        <v>#DIV/0!</v>
      </c>
      <c r="AP35" s="66" t="e">
        <f t="shared" si="52"/>
        <v>#DIV/0!</v>
      </c>
      <c r="AQ35" s="66" t="e">
        <f t="shared" si="52"/>
        <v>#DIV/0!</v>
      </c>
      <c r="AR35" s="66" t="e">
        <f t="shared" si="52"/>
        <v>#DIV/0!</v>
      </c>
      <c r="AS35" s="66" t="e">
        <f t="shared" si="52"/>
        <v>#DIV/0!</v>
      </c>
      <c r="AT35" s="66" t="e">
        <f t="shared" si="52"/>
        <v>#DIV/0!</v>
      </c>
      <c r="AU35" s="66" t="e">
        <f t="shared" si="52"/>
        <v>#DIV/0!</v>
      </c>
      <c r="AV35" s="22"/>
      <c r="AW35" s="22"/>
      <c r="AX35" s="22"/>
      <c r="AY35" s="22"/>
      <c r="AZ35" s="66" t="e">
        <f>AZ34/1000</f>
        <v>#DIV/0!</v>
      </c>
      <c r="BA35" s="66" t="e">
        <f>BA34/1000</f>
        <v>#DIV/0!</v>
      </c>
      <c r="BB35" s="66" t="e">
        <f>BB34/1000</f>
        <v>#DIV/0!</v>
      </c>
      <c r="BC35" s="66" t="e">
        <f>BC34/1000</f>
        <v>#DIV/0!</v>
      </c>
    </row>
    <row r="36" spans="1:63" x14ac:dyDescent="0.2">
      <c r="P36" s="211"/>
      <c r="Q36" s="21"/>
      <c r="R36" s="2"/>
      <c r="S36" s="2"/>
      <c r="T36" s="2"/>
      <c r="U36" s="2"/>
      <c r="V36" s="2"/>
      <c r="W36" s="2"/>
      <c r="Y36" s="70"/>
      <c r="Z36" s="70"/>
      <c r="AA36" s="70"/>
    </row>
    <row r="37" spans="1:63" ht="23.25" x14ac:dyDescent="0.35">
      <c r="A37" s="173" t="str">
        <f>A2</f>
        <v>ENDAGARS FODERSTATSKONTROLL</v>
      </c>
      <c r="L37" s="19"/>
      <c r="M37" s="19"/>
      <c r="N37" s="19"/>
      <c r="O37" s="19"/>
      <c r="T37" s="2"/>
      <c r="U37" s="2"/>
      <c r="V37" s="3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63" ht="26.25" x14ac:dyDescent="0.4">
      <c r="A38" s="10"/>
      <c r="L38" s="19"/>
      <c r="M38" s="19"/>
      <c r="N38" s="19"/>
      <c r="O38" s="19"/>
      <c r="R38" s="13"/>
      <c r="S38" s="11" t="s">
        <v>72</v>
      </c>
      <c r="T38" s="11" t="s">
        <v>73</v>
      </c>
      <c r="U38" s="11" t="s">
        <v>121</v>
      </c>
      <c r="V38" s="3"/>
      <c r="W38" s="13" t="s">
        <v>75</v>
      </c>
      <c r="X38" s="44" t="s">
        <v>76</v>
      </c>
      <c r="Y38" s="44" t="s">
        <v>77</v>
      </c>
      <c r="AA38" s="4"/>
      <c r="AB38" s="4"/>
      <c r="AC38" s="4"/>
      <c r="AD38" s="4"/>
    </row>
    <row r="39" spans="1:63" x14ac:dyDescent="0.2">
      <c r="A39" s="1" t="s">
        <v>184</v>
      </c>
      <c r="B39" s="1" t="str">
        <f>B5</f>
        <v>x</v>
      </c>
      <c r="C39" s="1"/>
      <c r="D39" s="1"/>
      <c r="E39" s="1"/>
      <c r="L39" s="5"/>
      <c r="M39" s="5"/>
      <c r="N39" s="5"/>
      <c r="O39" s="5"/>
      <c r="R39" s="2"/>
      <c r="S39" s="21">
        <v>50</v>
      </c>
      <c r="T39" s="21">
        <v>16.100000000000001</v>
      </c>
      <c r="U39" s="11">
        <v>7.5</v>
      </c>
      <c r="V39" s="2"/>
      <c r="W39" s="68" t="s">
        <v>79</v>
      </c>
      <c r="X39" s="67" t="s">
        <v>80</v>
      </c>
      <c r="Y39" s="67" t="s">
        <v>81</v>
      </c>
      <c r="AA39" s="4"/>
      <c r="AB39" s="4"/>
      <c r="AC39" s="4"/>
      <c r="AD39" s="4"/>
    </row>
    <row r="40" spans="1:63" x14ac:dyDescent="0.2">
      <c r="A40" s="1" t="s">
        <v>82</v>
      </c>
      <c r="B40" s="215">
        <f>F4</f>
        <v>44882</v>
      </c>
      <c r="C40" s="1"/>
      <c r="D40" s="1"/>
      <c r="E40" s="1"/>
      <c r="L40" s="5"/>
      <c r="M40" s="5"/>
      <c r="N40" s="5"/>
      <c r="O40" s="5"/>
      <c r="R40" s="67"/>
      <c r="S40" s="21">
        <v>75</v>
      </c>
      <c r="T40" s="21">
        <v>14.6</v>
      </c>
      <c r="U40" s="11">
        <v>7.5</v>
      </c>
      <c r="W40" s="1">
        <v>100</v>
      </c>
      <c r="X40" s="11">
        <v>27</v>
      </c>
      <c r="Y40" s="11">
        <v>13</v>
      </c>
      <c r="Z40" s="69"/>
      <c r="AA40" s="4"/>
      <c r="AB40" s="4"/>
      <c r="AC40" s="4"/>
      <c r="AD40" s="4"/>
    </row>
    <row r="41" spans="1:63" x14ac:dyDescent="0.2">
      <c r="B41" s="129"/>
      <c r="C41" s="1"/>
      <c r="D41" s="1"/>
      <c r="E41" s="1"/>
      <c r="L41" s="5"/>
      <c r="M41" s="5"/>
      <c r="N41" s="5"/>
      <c r="O41" s="5"/>
      <c r="R41" s="11"/>
      <c r="S41" s="21">
        <v>100</v>
      </c>
      <c r="T41" s="21">
        <v>14.6</v>
      </c>
      <c r="U41" s="21">
        <v>7.5</v>
      </c>
      <c r="V41" s="2"/>
      <c r="W41" s="1">
        <v>200</v>
      </c>
      <c r="X41" s="11">
        <v>30</v>
      </c>
      <c r="Y41" s="11">
        <v>15</v>
      </c>
      <c r="Z41" s="69"/>
      <c r="AA41" s="4"/>
      <c r="AB41" s="4"/>
      <c r="AC41" s="4"/>
      <c r="AD41" s="4"/>
    </row>
    <row r="42" spans="1:63" x14ac:dyDescent="0.2">
      <c r="B42" s="1"/>
      <c r="C42" s="1"/>
      <c r="D42" s="1"/>
      <c r="E42" s="1"/>
      <c r="L42" s="5"/>
      <c r="M42" s="5"/>
      <c r="N42" s="5"/>
      <c r="O42" s="5"/>
      <c r="R42" s="11"/>
      <c r="S42" s="21">
        <v>125</v>
      </c>
      <c r="T42" s="21">
        <v>13.1</v>
      </c>
      <c r="U42" s="21">
        <v>7.25</v>
      </c>
      <c r="V42" s="2"/>
      <c r="W42" s="2">
        <v>300</v>
      </c>
      <c r="X42" s="21">
        <v>33</v>
      </c>
      <c r="Y42" s="21">
        <v>20</v>
      </c>
      <c r="Z42" s="69"/>
      <c r="AA42" s="4"/>
      <c r="AB42" s="4"/>
      <c r="AC42" s="4"/>
      <c r="AD42" s="4"/>
    </row>
    <row r="43" spans="1:63" ht="15.75" x14ac:dyDescent="0.25">
      <c r="A43" s="229" t="s">
        <v>84</v>
      </c>
      <c r="B43" s="127" t="s">
        <v>19</v>
      </c>
      <c r="C43" s="107" t="s">
        <v>20</v>
      </c>
      <c r="D43" s="127" t="s">
        <v>24</v>
      </c>
      <c r="E43" s="107" t="s">
        <v>25</v>
      </c>
      <c r="F43" s="128" t="s">
        <v>83</v>
      </c>
      <c r="H43" s="1" t="s">
        <v>84</v>
      </c>
      <c r="I43" s="1" t="s">
        <v>234</v>
      </c>
      <c r="J43" s="127" t="s">
        <v>19</v>
      </c>
      <c r="K43" s="107" t="s">
        <v>20</v>
      </c>
      <c r="L43" s="127" t="s">
        <v>24</v>
      </c>
      <c r="M43" s="107" t="s">
        <v>25</v>
      </c>
      <c r="N43" s="128" t="s">
        <v>83</v>
      </c>
      <c r="O43" s="11"/>
      <c r="R43" s="11"/>
      <c r="S43" s="21">
        <v>150</v>
      </c>
      <c r="T43" s="21">
        <v>13.1</v>
      </c>
      <c r="U43" s="21">
        <v>7.25</v>
      </c>
      <c r="V43" s="2"/>
      <c r="W43" s="2">
        <v>400</v>
      </c>
      <c r="X43" s="21">
        <v>37</v>
      </c>
      <c r="Y43" s="21">
        <v>29</v>
      </c>
      <c r="Z43" s="69"/>
      <c r="AA43" s="4"/>
      <c r="AB43" s="4"/>
      <c r="AC43" s="4"/>
      <c r="AD43" s="4"/>
    </row>
    <row r="44" spans="1:63" ht="15.75" x14ac:dyDescent="0.25">
      <c r="B44" s="51"/>
      <c r="C44" s="11"/>
      <c r="D44" s="11"/>
      <c r="E44" s="11"/>
      <c r="F44" s="38"/>
      <c r="H44" s="230" t="s">
        <v>85</v>
      </c>
      <c r="L44" s="112"/>
      <c r="M44" s="112"/>
      <c r="O44" s="11"/>
      <c r="R44" s="11"/>
      <c r="S44" s="21">
        <v>175</v>
      </c>
      <c r="T44" s="21">
        <v>12.4</v>
      </c>
      <c r="U44" s="21">
        <v>7</v>
      </c>
      <c r="V44" s="2"/>
      <c r="W44" s="2">
        <v>500</v>
      </c>
      <c r="X44" s="21">
        <v>40</v>
      </c>
      <c r="Y44" s="21">
        <v>33</v>
      </c>
      <c r="Z44" s="69"/>
      <c r="AA44" s="4"/>
      <c r="AB44" s="4"/>
      <c r="AC44" s="4"/>
      <c r="AD44" s="4"/>
    </row>
    <row r="45" spans="1:63" x14ac:dyDescent="0.2">
      <c r="A45" s="224" t="s">
        <v>229</v>
      </c>
      <c r="B45" s="118">
        <f>P33/B10</f>
        <v>0</v>
      </c>
      <c r="C45" s="118">
        <f>Q33/C10</f>
        <v>0</v>
      </c>
      <c r="D45" s="118">
        <f>R33/D10</f>
        <v>0</v>
      </c>
      <c r="E45" s="118">
        <f>S33/E10</f>
        <v>0</v>
      </c>
      <c r="F45" s="143"/>
      <c r="G45" s="15"/>
      <c r="H45" s="226" t="s">
        <v>87</v>
      </c>
      <c r="J45" s="117" t="e">
        <f>AN33/AR33</f>
        <v>#DIV/0!</v>
      </c>
      <c r="K45" s="117" t="e">
        <f>AO33/AS33</f>
        <v>#DIV/0!</v>
      </c>
      <c r="L45" s="117" t="e">
        <f>AP33/AT33</f>
        <v>#DIV/0!</v>
      </c>
      <c r="M45" s="117" t="e">
        <f>AQ33/AU33</f>
        <v>#DIV/0!</v>
      </c>
      <c r="N45" s="222" t="s">
        <v>199</v>
      </c>
      <c r="O45" s="11"/>
      <c r="R45" s="2"/>
      <c r="S45" s="21">
        <v>200</v>
      </c>
      <c r="T45" s="21">
        <v>12.4</v>
      </c>
      <c r="U45" s="21">
        <v>7</v>
      </c>
      <c r="V45" s="4"/>
      <c r="W45" s="2">
        <v>600</v>
      </c>
      <c r="X45" s="21">
        <v>44</v>
      </c>
      <c r="Y45" s="21">
        <v>36</v>
      </c>
      <c r="Z45" s="2"/>
    </row>
    <row r="46" spans="1:63" x14ac:dyDescent="0.2">
      <c r="A46" s="224" t="s">
        <v>88</v>
      </c>
      <c r="B46" s="120">
        <f>B45/B11</f>
        <v>0</v>
      </c>
      <c r="C46" s="120">
        <f>C45/C11</f>
        <v>0</v>
      </c>
      <c r="D46" s="120">
        <f>D45/D11</f>
        <v>0</v>
      </c>
      <c r="E46" s="120">
        <f>E45/E11</f>
        <v>0</v>
      </c>
      <c r="F46" s="144" t="s">
        <v>89</v>
      </c>
      <c r="G46" s="15"/>
      <c r="H46" s="227" t="s">
        <v>197</v>
      </c>
      <c r="J46" s="5">
        <f>AN33/B10-V16</f>
        <v>-27</v>
      </c>
      <c r="K46" s="5">
        <f>AO33/C10-V17</f>
        <v>-30</v>
      </c>
      <c r="L46" s="5">
        <f>AP33/D10-W18</f>
        <v>-29</v>
      </c>
      <c r="M46" s="5">
        <f>AQ33/E10-V19</f>
        <v>-40</v>
      </c>
      <c r="N46" s="154" t="s">
        <v>200</v>
      </c>
      <c r="O46" s="25"/>
      <c r="Q46" s="21"/>
      <c r="R46" s="2"/>
      <c r="S46" s="21">
        <v>225</v>
      </c>
      <c r="T46" s="21">
        <v>11.6</v>
      </c>
      <c r="U46" s="21">
        <v>6.75</v>
      </c>
      <c r="V46" s="4"/>
      <c r="W46" s="2"/>
      <c r="X46" s="2"/>
      <c r="Y46" s="2"/>
      <c r="Z46" s="2"/>
    </row>
    <row r="47" spans="1:63" x14ac:dyDescent="0.2">
      <c r="A47" s="216" t="s">
        <v>230</v>
      </c>
      <c r="B47" s="118">
        <f>T33/B10</f>
        <v>0</v>
      </c>
      <c r="C47" s="118">
        <f>U33/C10</f>
        <v>0</v>
      </c>
      <c r="D47" s="118">
        <f>V33/D10</f>
        <v>0</v>
      </c>
      <c r="E47" s="118">
        <f>W33/E10</f>
        <v>0</v>
      </c>
      <c r="F47" s="145"/>
      <c r="G47" s="15"/>
      <c r="H47" s="227" t="s">
        <v>198</v>
      </c>
      <c r="J47" s="5">
        <f>AR33/B10-W16</f>
        <v>-13</v>
      </c>
      <c r="K47" s="5">
        <f>AS33/C10-W17</f>
        <v>-15</v>
      </c>
      <c r="L47" s="5">
        <f>AT33/D10-W18</f>
        <v>-29</v>
      </c>
      <c r="M47" s="5">
        <f>AU33/E10-W19</f>
        <v>-33</v>
      </c>
      <c r="N47" s="154" t="s">
        <v>200</v>
      </c>
      <c r="O47" s="11"/>
      <c r="Q47" s="21"/>
      <c r="R47" s="24"/>
      <c r="S47" s="21">
        <v>250</v>
      </c>
      <c r="T47" s="21">
        <v>11.6</v>
      </c>
      <c r="U47" s="21">
        <v>6.75</v>
      </c>
      <c r="V47" s="4"/>
      <c r="W47" s="2"/>
      <c r="X47" s="2"/>
      <c r="Y47" s="2"/>
      <c r="Z47" s="2"/>
    </row>
    <row r="48" spans="1:63" x14ac:dyDescent="0.2">
      <c r="A48" s="216" t="s">
        <v>231</v>
      </c>
      <c r="B48" s="118">
        <f>B45-B47</f>
        <v>0</v>
      </c>
      <c r="C48" s="118">
        <f>C45-C47</f>
        <v>0</v>
      </c>
      <c r="D48" s="118">
        <f>D45-D47</f>
        <v>0</v>
      </c>
      <c r="E48" s="118">
        <f>E45-E47</f>
        <v>0</v>
      </c>
      <c r="F48" s="144"/>
      <c r="G48" s="15"/>
      <c r="H48" s="226" t="s">
        <v>94</v>
      </c>
      <c r="J48" s="139" t="e">
        <f>AN33/P33/1000</f>
        <v>#DIV/0!</v>
      </c>
      <c r="K48" s="139" t="e">
        <f>AO33/Q33/1000</f>
        <v>#DIV/0!</v>
      </c>
      <c r="L48" s="139" t="e">
        <f>AP33/R33/1000</f>
        <v>#DIV/0!</v>
      </c>
      <c r="M48" s="139" t="e">
        <f>AQ33/S33/1000</f>
        <v>#DIV/0!</v>
      </c>
      <c r="N48" s="150"/>
      <c r="O48" s="11"/>
      <c r="Q48" s="21"/>
      <c r="R48" s="23"/>
      <c r="S48" s="21">
        <v>275</v>
      </c>
      <c r="T48" s="21">
        <v>11.2</v>
      </c>
      <c r="U48" s="21">
        <v>6.5</v>
      </c>
      <c r="V48" s="4"/>
      <c r="W48" s="2"/>
      <c r="X48" s="2"/>
      <c r="Y48" s="2"/>
      <c r="Z48" s="2"/>
    </row>
    <row r="49" spans="1:26" x14ac:dyDescent="0.2">
      <c r="A49" s="216" t="s">
        <v>95</v>
      </c>
      <c r="B49" s="121" t="e">
        <f>B47/B45</f>
        <v>#DIV/0!</v>
      </c>
      <c r="C49" s="121" t="e">
        <f>C47/C45</f>
        <v>#DIV/0!</v>
      </c>
      <c r="D49" s="121" t="e">
        <f>D47/D45</f>
        <v>#DIV/0!</v>
      </c>
      <c r="E49" s="121" t="e">
        <f>E47/E45</f>
        <v>#DIV/0!</v>
      </c>
      <c r="F49" s="144" t="s">
        <v>96</v>
      </c>
      <c r="G49" s="15"/>
      <c r="H49" s="226" t="s">
        <v>97</v>
      </c>
      <c r="I49" s="15"/>
      <c r="J49" s="139" t="e">
        <f>AR33/P33/1000</f>
        <v>#DIV/0!</v>
      </c>
      <c r="K49" s="139" t="e">
        <f>AS33/Q33/1000</f>
        <v>#DIV/0!</v>
      </c>
      <c r="L49" s="139" t="e">
        <f>AT33/R33/1000</f>
        <v>#DIV/0!</v>
      </c>
      <c r="M49" s="139" t="e">
        <f>AU33/S33/1000</f>
        <v>#DIV/0!</v>
      </c>
      <c r="N49" s="150"/>
      <c r="O49" s="11"/>
      <c r="Q49" s="21"/>
      <c r="R49" s="24"/>
      <c r="S49" s="21">
        <v>300</v>
      </c>
      <c r="T49" s="21">
        <v>11.2</v>
      </c>
      <c r="U49" s="21">
        <v>6.5</v>
      </c>
      <c r="V49" s="4"/>
      <c r="W49" s="2"/>
      <c r="X49" s="2"/>
      <c r="Y49" s="2"/>
      <c r="Z49" s="2"/>
    </row>
    <row r="50" spans="1:26" x14ac:dyDescent="0.2">
      <c r="A50" s="216" t="s">
        <v>99</v>
      </c>
      <c r="B50" s="106">
        <f>B48/B12</f>
        <v>0</v>
      </c>
      <c r="C50" s="106">
        <f>C48/C12</f>
        <v>0</v>
      </c>
      <c r="D50" s="106">
        <f>D48/D12</f>
        <v>0</v>
      </c>
      <c r="E50" s="106">
        <f>E48/E12</f>
        <v>0</v>
      </c>
      <c r="F50" s="146"/>
      <c r="G50" s="15"/>
      <c r="H50" s="224"/>
      <c r="N50" s="151"/>
      <c r="O50" s="11"/>
      <c r="Q50" s="21"/>
      <c r="R50" s="23"/>
      <c r="S50" s="21">
        <v>325</v>
      </c>
      <c r="T50" s="21">
        <v>11.1</v>
      </c>
      <c r="U50" s="21">
        <v>6.5</v>
      </c>
      <c r="V50" s="4"/>
      <c r="W50" s="2"/>
      <c r="X50" s="2"/>
      <c r="Y50" s="2"/>
      <c r="Z50" s="2"/>
    </row>
    <row r="51" spans="1:26" x14ac:dyDescent="0.2">
      <c r="A51" s="224"/>
      <c r="B51" s="115"/>
      <c r="C51" s="120"/>
      <c r="D51" s="115"/>
      <c r="E51" s="113"/>
      <c r="F51" s="146"/>
      <c r="G51" s="15"/>
      <c r="H51" s="224"/>
      <c r="N51" s="150"/>
      <c r="O51" s="11"/>
      <c r="Q51" s="21"/>
      <c r="R51" s="2"/>
      <c r="S51" s="21">
        <v>350</v>
      </c>
      <c r="T51" s="21">
        <v>11.1</v>
      </c>
      <c r="U51" s="21">
        <v>6.5</v>
      </c>
      <c r="V51" s="4"/>
      <c r="W51" s="2"/>
      <c r="X51" s="2"/>
      <c r="Y51" s="2"/>
      <c r="Z51" s="2"/>
    </row>
    <row r="52" spans="1:26" ht="15.75" x14ac:dyDescent="0.25">
      <c r="A52" s="225" t="s">
        <v>232</v>
      </c>
      <c r="B52" s="115">
        <f>X33/B10/B12</f>
        <v>0</v>
      </c>
      <c r="C52" s="115">
        <f>Y33/C10/C12</f>
        <v>0</v>
      </c>
      <c r="D52" s="115">
        <f>Z33/D10/D12</f>
        <v>0</v>
      </c>
      <c r="E52" s="115">
        <f>AA33/E10/E12</f>
        <v>0</v>
      </c>
      <c r="F52" s="147"/>
      <c r="G52" s="15"/>
      <c r="H52" s="231" t="s">
        <v>101</v>
      </c>
      <c r="N52" s="151"/>
      <c r="O52" s="11"/>
      <c r="Q52" s="21"/>
      <c r="R52" s="2"/>
      <c r="S52" s="21">
        <v>375</v>
      </c>
      <c r="T52" s="21">
        <v>10.8</v>
      </c>
      <c r="U52" s="21">
        <v>6.5</v>
      </c>
      <c r="V52" s="2"/>
      <c r="W52" s="2"/>
      <c r="X52" s="2"/>
      <c r="Y52" s="2"/>
      <c r="Z52" s="2"/>
    </row>
    <row r="53" spans="1:26" x14ac:dyDescent="0.2">
      <c r="A53" s="226" t="s">
        <v>102</v>
      </c>
      <c r="B53" s="120" t="e">
        <f>AF35</f>
        <v>#DIV/0!</v>
      </c>
      <c r="C53" s="120" t="e">
        <f>AG35</f>
        <v>#DIV/0!</v>
      </c>
      <c r="D53" s="120" t="e">
        <f>AH35</f>
        <v>#DIV/0!</v>
      </c>
      <c r="E53" s="120" t="e">
        <f>AI35</f>
        <v>#DIV/0!</v>
      </c>
      <c r="F53" s="148" t="s">
        <v>103</v>
      </c>
      <c r="G53" s="15"/>
      <c r="H53" s="228" t="s">
        <v>104</v>
      </c>
      <c r="J53" s="142" t="e">
        <f>AV33/P33</f>
        <v>#DIV/0!</v>
      </c>
      <c r="K53" s="142" t="e">
        <f>AW33/Q33</f>
        <v>#DIV/0!</v>
      </c>
      <c r="L53" s="142" t="e">
        <f>AX33/R33</f>
        <v>#DIV/0!</v>
      </c>
      <c r="M53" s="142" t="e">
        <f>AY33/S33</f>
        <v>#DIV/0!</v>
      </c>
      <c r="N53" s="153"/>
      <c r="O53" s="11"/>
      <c r="Q53" s="21"/>
      <c r="R53" s="2"/>
      <c r="S53" s="21">
        <v>400</v>
      </c>
      <c r="T53" s="21">
        <v>10.8</v>
      </c>
      <c r="U53" s="21">
        <v>6.5</v>
      </c>
      <c r="V53" s="2"/>
      <c r="W53" s="2"/>
      <c r="X53" s="2"/>
      <c r="Y53" s="2"/>
      <c r="Z53" s="2"/>
    </row>
    <row r="54" spans="1:26" x14ac:dyDescent="0.2">
      <c r="A54" s="224" t="s">
        <v>105</v>
      </c>
      <c r="B54" s="118" t="e">
        <f>AF33/X33</f>
        <v>#DIV/0!</v>
      </c>
      <c r="C54" s="118" t="e">
        <f>AG33/Y33</f>
        <v>#DIV/0!</v>
      </c>
      <c r="D54" s="118" t="e">
        <f>AH33/Z33</f>
        <v>#DIV/0!</v>
      </c>
      <c r="E54" s="118" t="e">
        <f>AI33/AA33</f>
        <v>#DIV/0!</v>
      </c>
      <c r="F54" s="149" t="s">
        <v>106</v>
      </c>
      <c r="G54" s="15"/>
      <c r="H54" s="228" t="s">
        <v>201</v>
      </c>
      <c r="J54" s="142">
        <f>AV33/B10</f>
        <v>0</v>
      </c>
      <c r="K54" s="142">
        <f>AW33/C10</f>
        <v>0</v>
      </c>
      <c r="L54" s="142">
        <f>AX33/D10</f>
        <v>0</v>
      </c>
      <c r="M54" s="142">
        <f>AY33/E10</f>
        <v>0</v>
      </c>
      <c r="N54" s="153"/>
      <c r="O54" s="11"/>
      <c r="Q54" s="21"/>
      <c r="R54" s="2"/>
      <c r="S54" s="21">
        <v>425</v>
      </c>
      <c r="T54" s="21">
        <v>10.6</v>
      </c>
      <c r="U54" s="21">
        <v>6.5</v>
      </c>
      <c r="V54" s="2"/>
      <c r="W54" s="2"/>
      <c r="X54" s="2"/>
      <c r="Y54" s="2"/>
      <c r="Z54" s="2"/>
    </row>
    <row r="55" spans="1:26" x14ac:dyDescent="0.2">
      <c r="A55" s="225" t="s">
        <v>108</v>
      </c>
      <c r="B55" s="118" t="e">
        <f>AB33/X33</f>
        <v>#DIV/0!</v>
      </c>
      <c r="C55" s="118" t="e">
        <f>AC33/Y33</f>
        <v>#DIV/0!</v>
      </c>
      <c r="D55" s="118" t="e">
        <f>AD33/Z33</f>
        <v>#DIV/0!</v>
      </c>
      <c r="E55" s="118" t="e">
        <f>AE33/AA33</f>
        <v>#DIV/0!</v>
      </c>
      <c r="F55" s="149" t="s">
        <v>109</v>
      </c>
      <c r="G55" s="15"/>
      <c r="H55" s="228" t="s">
        <v>110</v>
      </c>
      <c r="J55" s="142">
        <f>J54/B12</f>
        <v>0</v>
      </c>
      <c r="K55" s="142">
        <f>K54/C12</f>
        <v>0</v>
      </c>
      <c r="L55" s="142">
        <f>L54/D12</f>
        <v>0</v>
      </c>
      <c r="M55" s="142">
        <f>M54/E12</f>
        <v>0</v>
      </c>
      <c r="N55" s="153"/>
      <c r="O55" s="11"/>
      <c r="Q55" s="21"/>
      <c r="R55" s="2"/>
      <c r="S55" s="21">
        <v>450</v>
      </c>
      <c r="T55" s="21">
        <v>10.6</v>
      </c>
      <c r="U55" s="21">
        <v>6.5</v>
      </c>
      <c r="V55" s="2"/>
      <c r="W55" s="2"/>
      <c r="X55" s="2"/>
      <c r="Y55" s="2"/>
      <c r="Z55" s="2"/>
    </row>
    <row r="56" spans="1:26" x14ac:dyDescent="0.2">
      <c r="A56" s="226" t="s">
        <v>111</v>
      </c>
      <c r="B56" s="121" t="e">
        <f>AJ35</f>
        <v>#DIV/0!</v>
      </c>
      <c r="C56" s="121" t="e">
        <f>AK35</f>
        <v>#DIV/0!</v>
      </c>
      <c r="D56" s="121" t="e">
        <f>AL35</f>
        <v>#DIV/0!</v>
      </c>
      <c r="E56" s="121" t="e">
        <f>AM35</f>
        <v>#DIV/0!</v>
      </c>
      <c r="F56" s="150" t="s">
        <v>96</v>
      </c>
      <c r="G56" s="15"/>
      <c r="H56" s="224"/>
      <c r="N56" s="153"/>
      <c r="O56" s="11"/>
      <c r="Q56" s="21"/>
      <c r="R56" s="2"/>
      <c r="S56" s="21">
        <v>475</v>
      </c>
      <c r="T56" s="21">
        <v>10.4</v>
      </c>
      <c r="U56" s="21">
        <v>6.5</v>
      </c>
      <c r="V56" s="2"/>
      <c r="W56" s="2"/>
      <c r="X56" s="2"/>
      <c r="Y56" s="2"/>
      <c r="Z56" s="2"/>
    </row>
    <row r="57" spans="1:26" x14ac:dyDescent="0.2">
      <c r="A57" s="224" t="s">
        <v>112</v>
      </c>
      <c r="B57" s="120">
        <f>AJ33/B10/B11/1000</f>
        <v>0</v>
      </c>
      <c r="C57" s="120">
        <f>AK33/C10/C11/1000</f>
        <v>0</v>
      </c>
      <c r="D57" s="120">
        <f>AL33/D10/D11/1000</f>
        <v>0</v>
      </c>
      <c r="E57" s="120">
        <f>AM33/E10/E11/1000</f>
        <v>0</v>
      </c>
      <c r="F57" s="150"/>
      <c r="G57" s="15"/>
      <c r="H57" s="224"/>
      <c r="N57" s="153"/>
      <c r="O57" s="11"/>
      <c r="Q57" s="21"/>
      <c r="R57" s="2"/>
      <c r="S57" s="21">
        <v>500</v>
      </c>
      <c r="T57" s="21">
        <v>10.4</v>
      </c>
      <c r="U57" s="21">
        <v>6.5</v>
      </c>
      <c r="V57" s="2"/>
      <c r="W57" s="2"/>
      <c r="X57" s="2"/>
      <c r="Y57" s="2"/>
      <c r="Z57" s="2"/>
    </row>
    <row r="58" spans="1:26" ht="15.75" x14ac:dyDescent="0.25">
      <c r="A58" s="216" t="s">
        <v>233</v>
      </c>
      <c r="B58" s="141" t="e">
        <f>X33/P33</f>
        <v>#DIV/0!</v>
      </c>
      <c r="C58" s="141" t="e">
        <f>Y33/Q33</f>
        <v>#DIV/0!</v>
      </c>
      <c r="D58" s="141" t="e">
        <f>Z33/R33</f>
        <v>#DIV/0!</v>
      </c>
      <c r="E58" s="141" t="e">
        <f>AA33/S33</f>
        <v>#DIV/0!</v>
      </c>
      <c r="F58" s="150"/>
      <c r="G58" s="15"/>
      <c r="H58" s="232" t="s">
        <v>114</v>
      </c>
      <c r="I58" s="15"/>
      <c r="J58" s="113"/>
      <c r="K58" s="113"/>
      <c r="L58" s="15"/>
      <c r="M58" s="112"/>
      <c r="N58" s="153"/>
      <c r="O58" s="11"/>
      <c r="Q58" s="21"/>
      <c r="R58" s="2"/>
      <c r="S58" s="21">
        <v>525</v>
      </c>
      <c r="T58" s="21">
        <v>10.1</v>
      </c>
      <c r="U58" s="21">
        <v>6.5</v>
      </c>
      <c r="V58" s="2"/>
      <c r="W58" s="2"/>
      <c r="X58" s="2"/>
      <c r="Y58" s="2"/>
      <c r="Z58" s="2"/>
    </row>
    <row r="59" spans="1:26" ht="15.75" x14ac:dyDescent="0.25">
      <c r="F59" s="151"/>
      <c r="G59" s="15"/>
      <c r="H59" s="226" t="s">
        <v>115</v>
      </c>
      <c r="I59" s="15"/>
      <c r="J59" s="124" t="e">
        <f>((B13-B11)*0.0256)/(AF33/1000/6.25/B10*B14)</f>
        <v>#DIV/0!</v>
      </c>
      <c r="K59" s="124" t="e">
        <f>((C13-C11)*0.0256)/(AG33/1000/6.25/C10*C14)</f>
        <v>#DIV/0!</v>
      </c>
      <c r="L59" s="124" t="e">
        <f>((D13-D11)*0.0256)/(AH33/1000/6.25/D10*D14)</f>
        <v>#DIV/0!</v>
      </c>
      <c r="M59" s="124" t="e">
        <f>((E13-E11)*0.0256)/(AI33/1000/6.25/E10*E14)</f>
        <v>#DIV/0!</v>
      </c>
      <c r="N59" s="153" t="s">
        <v>116</v>
      </c>
      <c r="O59" s="11"/>
      <c r="Q59" s="44"/>
      <c r="S59" s="21">
        <v>550</v>
      </c>
      <c r="T59" s="21">
        <v>10.1</v>
      </c>
      <c r="U59" s="21">
        <v>6.5</v>
      </c>
      <c r="V59" s="2"/>
      <c r="W59" s="2"/>
      <c r="X59" s="2"/>
      <c r="Y59" s="2"/>
      <c r="Z59" s="2"/>
    </row>
    <row r="60" spans="1:26" x14ac:dyDescent="0.2">
      <c r="F60" s="150"/>
      <c r="G60" s="15"/>
      <c r="H60" s="224" t="s">
        <v>117</v>
      </c>
      <c r="J60" s="46" t="e">
        <f>AZ35</f>
        <v>#DIV/0!</v>
      </c>
      <c r="K60" s="46" t="e">
        <f>BA35</f>
        <v>#DIV/0!</v>
      </c>
      <c r="L60" s="46" t="e">
        <f>BB35</f>
        <v>#DIV/0!</v>
      </c>
      <c r="M60" s="46" t="e">
        <f>BC35</f>
        <v>#DIV/0!</v>
      </c>
      <c r="N60" s="153"/>
      <c r="O60" s="11"/>
      <c r="Q60" s="44"/>
      <c r="S60" s="21">
        <v>575</v>
      </c>
      <c r="T60" s="21">
        <v>10.1</v>
      </c>
      <c r="U60" s="21">
        <v>6.5</v>
      </c>
      <c r="V60" s="2"/>
      <c r="W60" s="2"/>
      <c r="X60" s="2"/>
      <c r="Y60" s="2"/>
      <c r="Z60" s="2"/>
    </row>
    <row r="61" spans="1:26" ht="15.75" x14ac:dyDescent="0.25">
      <c r="A61" s="233" t="s">
        <v>118</v>
      </c>
      <c r="B61" s="216" t="s">
        <v>192</v>
      </c>
      <c r="C61" s="217" t="s">
        <v>193</v>
      </c>
      <c r="D61" s="218" t="s">
        <v>194</v>
      </c>
      <c r="E61" s="219" t="s">
        <v>196</v>
      </c>
      <c r="F61" s="220" t="s">
        <v>83</v>
      </c>
      <c r="G61" s="15"/>
      <c r="H61" s="224"/>
      <c r="L61" s="113"/>
      <c r="M61" s="112"/>
      <c r="N61" s="156"/>
      <c r="O61" s="11"/>
      <c r="Q61" s="67"/>
      <c r="S61" s="21">
        <v>600</v>
      </c>
      <c r="T61" s="21">
        <v>10.1</v>
      </c>
      <c r="U61" s="21">
        <v>6.5</v>
      </c>
      <c r="V61" s="2"/>
      <c r="W61" s="2"/>
      <c r="X61" s="2"/>
      <c r="Y61" s="2"/>
      <c r="Z61" s="2"/>
    </row>
    <row r="62" spans="1:26" x14ac:dyDescent="0.2">
      <c r="A62" s="217" t="s">
        <v>190</v>
      </c>
      <c r="B62" s="138">
        <f>X33/B10/S16</f>
        <v>0</v>
      </c>
      <c r="C62" s="138">
        <f>Y33/C10/S17</f>
        <v>0</v>
      </c>
      <c r="D62" s="138">
        <f>Z33/D10/S18</f>
        <v>0</v>
      </c>
      <c r="E62" s="138">
        <f>AA33/E10/S19</f>
        <v>0</v>
      </c>
      <c r="F62" s="152">
        <v>1</v>
      </c>
      <c r="G62" s="15"/>
      <c r="H62" s="224"/>
      <c r="K62" s="113"/>
      <c r="L62" s="113"/>
      <c r="M62" s="15"/>
      <c r="N62" s="153"/>
      <c r="O62" s="11"/>
      <c r="S62" s="21">
        <v>625</v>
      </c>
      <c r="T62" s="21">
        <v>10.1</v>
      </c>
      <c r="U62" s="21">
        <v>6.5</v>
      </c>
      <c r="V62" s="2"/>
      <c r="W62" s="2"/>
      <c r="X62" s="2"/>
      <c r="Y62" s="2"/>
      <c r="Z62" s="2"/>
    </row>
    <row r="63" spans="1:26" ht="15.75" x14ac:dyDescent="0.25">
      <c r="A63" s="224" t="s">
        <v>8</v>
      </c>
      <c r="B63" s="40">
        <f>AF33/B10/T16</f>
        <v>0</v>
      </c>
      <c r="C63" s="40">
        <f>AG33/C10/T17</f>
        <v>0</v>
      </c>
      <c r="D63" s="40">
        <f>AH33/D10/T18</f>
        <v>0</v>
      </c>
      <c r="E63" s="40">
        <f>AI33/E10/T19</f>
        <v>0</v>
      </c>
      <c r="F63" s="152">
        <v>1</v>
      </c>
      <c r="G63" s="15"/>
      <c r="H63" s="232" t="s">
        <v>188</v>
      </c>
      <c r="N63" s="153"/>
      <c r="O63" s="11"/>
      <c r="T63" s="2"/>
      <c r="U63" s="2"/>
      <c r="V63" s="2"/>
      <c r="W63" s="2"/>
      <c r="X63" s="2"/>
      <c r="Y63" s="2"/>
      <c r="Z63" s="2"/>
    </row>
    <row r="64" spans="1:26" x14ac:dyDescent="0.2">
      <c r="A64" s="217" t="s">
        <v>121</v>
      </c>
      <c r="B64" s="119">
        <f>AB33/B10/U16</f>
        <v>0</v>
      </c>
      <c r="C64" s="119">
        <f>AC33/C10/U17</f>
        <v>0</v>
      </c>
      <c r="D64" s="119">
        <f>AD33/D10/U18</f>
        <v>0</v>
      </c>
      <c r="E64" s="119">
        <f>AE33/E10/U19</f>
        <v>0</v>
      </c>
      <c r="F64" s="152">
        <v>1</v>
      </c>
      <c r="G64" s="15"/>
      <c r="H64" s="226" t="s">
        <v>202</v>
      </c>
      <c r="J64" s="40" t="e">
        <f>((B10*AF19)/(AR33))</f>
        <v>#DIV/0!</v>
      </c>
      <c r="K64" s="40" t="e">
        <f>((C10*AG19)/(AS33))</f>
        <v>#DIV/0!</v>
      </c>
      <c r="L64" s="40" t="e">
        <f>((D10*AH19)/(AT33))</f>
        <v>#DIV/0!</v>
      </c>
      <c r="M64" s="40" t="e">
        <f>((E10*AI19)/(AU33))</f>
        <v>#DIV/0!</v>
      </c>
      <c r="N64" s="156"/>
      <c r="O64" s="11"/>
      <c r="T64" s="2"/>
      <c r="U64" s="2"/>
      <c r="V64" s="2"/>
      <c r="W64" s="2"/>
      <c r="X64" s="2"/>
      <c r="Y64" s="2"/>
      <c r="Z64" s="2"/>
    </row>
    <row r="65" spans="1:26" x14ac:dyDescent="0.2">
      <c r="F65" s="153"/>
      <c r="G65" s="15"/>
      <c r="H65" s="224"/>
      <c r="N65" s="155"/>
      <c r="O65" s="155"/>
      <c r="T65" s="2"/>
      <c r="U65" s="2"/>
      <c r="V65" s="2"/>
      <c r="W65" s="2"/>
      <c r="X65" s="2"/>
      <c r="Y65" s="2"/>
      <c r="Z65" s="2"/>
    </row>
    <row r="66" spans="1:26" x14ac:dyDescent="0.2">
      <c r="F66" s="153"/>
      <c r="G66" s="15"/>
      <c r="H66" s="15"/>
      <c r="I66" s="15"/>
      <c r="J66" s="15"/>
      <c r="K66" s="15"/>
      <c r="L66" s="113"/>
      <c r="M66" s="15"/>
      <c r="N66" s="113"/>
      <c r="O66" s="153"/>
      <c r="Q66" s="21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x14ac:dyDescent="0.25">
      <c r="A67" s="229" t="s">
        <v>124</v>
      </c>
      <c r="B67" s="221" t="s">
        <v>192</v>
      </c>
      <c r="C67" s="221" t="s">
        <v>193</v>
      </c>
      <c r="D67" s="221" t="s">
        <v>194</v>
      </c>
      <c r="E67" s="221" t="s">
        <v>195</v>
      </c>
      <c r="F67" s="153"/>
      <c r="G67" s="15"/>
      <c r="O67" s="155"/>
      <c r="Q67" s="21"/>
      <c r="R67" s="2"/>
      <c r="V67" s="2"/>
      <c r="W67" s="2"/>
      <c r="X67" s="2"/>
      <c r="Y67" s="2"/>
      <c r="Z67" s="2"/>
    </row>
    <row r="68" spans="1:26" x14ac:dyDescent="0.2">
      <c r="A68" s="224" t="s">
        <v>191</v>
      </c>
      <c r="B68" s="5">
        <f>X33/B10-S6</f>
        <v>-21.377226214684143</v>
      </c>
      <c r="C68" s="5">
        <f>Y33/C10-S7</f>
        <v>-32.293336624245534</v>
      </c>
      <c r="D68" s="5">
        <f>Z33/D10-S8</f>
        <v>-44.609556151120806</v>
      </c>
      <c r="E68" s="5">
        <f>AA33/E10-S9</f>
        <v>-52.736391764098144</v>
      </c>
      <c r="F68" s="153"/>
      <c r="G68" s="15"/>
      <c r="O68" s="155"/>
      <c r="Q68" s="21"/>
      <c r="R68" s="2"/>
      <c r="V68" s="2"/>
      <c r="W68" s="2"/>
      <c r="X68" s="2"/>
      <c r="Y68" s="2"/>
      <c r="Z68" s="2"/>
    </row>
    <row r="69" spans="1:26" x14ac:dyDescent="0.2">
      <c r="A69" s="224" t="s">
        <v>126</v>
      </c>
      <c r="B69" s="69">
        <f>((0.435*B68)/(6.28+0.0188*B11))/(1+(((0.435*B68)/(6.28+0.0188*B11))*0.3))/1.05</f>
        <v>-1.403470319709426</v>
      </c>
      <c r="C69" s="69">
        <f>((0.435*C68)/(6.28+0.0188*C11))/(1+(((0.435*C68)/(6.28+0.0188*C11))*0.3))/1.05</f>
        <v>-1.9239585223902578</v>
      </c>
      <c r="D69" s="69">
        <f>((0.435*D68)/(6.28+0.0188*D11))/(1+(((0.435*D68)/(6.28+0.0188*D11))*0.3))/1.05</f>
        <v>-2.3163766226444502</v>
      </c>
      <c r="E69" s="69">
        <f>((0.435*E68)/(6.28+0.0188*E11))/(1+(((0.435*E68)/(6.28+0.0188*E11))*0.3))/1.05</f>
        <v>-2.4833121038516017</v>
      </c>
      <c r="F69" s="154"/>
      <c r="I69" s="15"/>
      <c r="J69" s="15"/>
      <c r="K69" s="15"/>
      <c r="L69" s="113"/>
      <c r="M69" s="15"/>
      <c r="N69" s="113"/>
      <c r="Q69" s="21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24" t="s">
        <v>127</v>
      </c>
      <c r="B70" s="215">
        <f>F4+((B13-B11)/B69)</f>
        <v>44596.992191582067</v>
      </c>
      <c r="C70" s="215">
        <f>F4+((C13-C11)/C69)</f>
        <v>44731.269099814213</v>
      </c>
      <c r="D70" s="215">
        <f>F4+((D13-D11)/D69)</f>
        <v>44817.243691145202</v>
      </c>
      <c r="E70" s="215">
        <f>F4+((E13-E11)/E69)</f>
        <v>44841.731199374859</v>
      </c>
      <c r="F70" s="155"/>
      <c r="I70" s="15"/>
      <c r="J70" s="15"/>
      <c r="K70" s="121"/>
      <c r="M70" s="15"/>
      <c r="N70" s="113"/>
      <c r="Q70" s="21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Q71" s="21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B72" s="1"/>
      <c r="C72" s="1"/>
      <c r="O72" s="2"/>
      <c r="P72" s="21"/>
      <c r="Q72" s="21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B73" s="1"/>
      <c r="C73" s="1"/>
      <c r="H73" s="2"/>
      <c r="L73" s="2"/>
      <c r="M73" s="2"/>
      <c r="N73" s="2"/>
      <c r="O73" s="2"/>
      <c r="P73" s="21"/>
      <c r="Q73" s="21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H74" s="2"/>
      <c r="L74" s="2"/>
      <c r="M74" s="2"/>
      <c r="N74" s="26"/>
      <c r="O74" s="26"/>
      <c r="P74" s="21"/>
      <c r="Q74" s="21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G75" s="27"/>
      <c r="H75" s="27"/>
      <c r="I75" s="2"/>
      <c r="J75" s="2"/>
      <c r="K75" s="2"/>
      <c r="L75" s="2"/>
      <c r="M75" s="28"/>
      <c r="N75" s="28"/>
      <c r="O75" s="29"/>
      <c r="P75" s="21"/>
      <c r="Q75" s="21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F76" s="27"/>
      <c r="G76" s="2"/>
      <c r="H76" s="19"/>
      <c r="I76" s="2"/>
      <c r="J76" s="2"/>
      <c r="K76" s="2"/>
      <c r="L76" s="2"/>
      <c r="M76" s="2"/>
      <c r="N76" s="2"/>
      <c r="O76" s="30"/>
      <c r="P76" s="21"/>
      <c r="Q76" s="21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F77" s="30"/>
      <c r="G77" s="2"/>
      <c r="H77" s="2"/>
      <c r="I77" s="2"/>
      <c r="J77" s="2"/>
      <c r="K77" s="2"/>
      <c r="L77" s="19"/>
      <c r="M77" s="2"/>
      <c r="N77" s="2"/>
      <c r="O77" s="2"/>
      <c r="P77" s="21"/>
      <c r="Q77" s="21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F78" s="2"/>
      <c r="G78" s="2"/>
      <c r="H78" s="2"/>
      <c r="I78" s="2"/>
      <c r="J78" s="2"/>
      <c r="K78" s="2"/>
      <c r="L78" s="2"/>
      <c r="M78" s="2"/>
      <c r="N78" s="2"/>
      <c r="O78" s="2"/>
      <c r="P78" s="21"/>
      <c r="Q78" s="21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F79" s="2"/>
      <c r="G79" s="2"/>
      <c r="H79" s="2"/>
      <c r="I79" s="2"/>
      <c r="J79" s="2"/>
      <c r="K79" s="2"/>
      <c r="L79" s="2"/>
      <c r="M79" s="2"/>
      <c r="N79" s="2"/>
      <c r="O79" s="2"/>
      <c r="P79" s="21"/>
      <c r="Q79" s="21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F80" s="2"/>
      <c r="G80" s="2"/>
      <c r="H80" s="2"/>
      <c r="I80" s="2"/>
      <c r="J80" s="2"/>
      <c r="K80" s="2"/>
      <c r="L80" s="2"/>
      <c r="M80" s="2"/>
      <c r="N80" s="2"/>
      <c r="O80" s="2"/>
      <c r="P80" s="21"/>
      <c r="Q80" s="21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F81" s="2"/>
      <c r="G81" s="2"/>
      <c r="H81" s="2"/>
      <c r="I81" s="2"/>
      <c r="J81" s="2"/>
      <c r="K81" s="2"/>
      <c r="L81" s="2"/>
      <c r="M81" s="2"/>
      <c r="N81" s="2"/>
      <c r="O81" s="2"/>
      <c r="P81" s="21"/>
      <c r="Q81" s="21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F82" s="2"/>
      <c r="G82" s="2"/>
      <c r="H82" s="2"/>
      <c r="I82" s="2"/>
      <c r="J82" s="2"/>
      <c r="K82" s="2"/>
      <c r="L82" s="2"/>
      <c r="M82" s="2"/>
      <c r="N82" s="2"/>
      <c r="O82" s="2"/>
      <c r="P82" s="21"/>
      <c r="Q82" s="21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26" x14ac:dyDescent="0.2">
      <c r="A84" s="2"/>
      <c r="F84" s="2"/>
      <c r="I84" s="13"/>
    </row>
    <row r="85" spans="1:26" x14ac:dyDescent="0.2">
      <c r="A85" s="2"/>
    </row>
  </sheetData>
  <mergeCells count="6">
    <mergeCell ref="F4:G4"/>
    <mergeCell ref="F5:H5"/>
    <mergeCell ref="C8:D8"/>
    <mergeCell ref="E8:F8"/>
    <mergeCell ref="B20:E20"/>
    <mergeCell ref="G20:M20"/>
  </mergeCells>
  <phoneticPr fontId="0" type="noConversion"/>
  <pageMargins left="0.25" right="0.25" top="0.75" bottom="0.75" header="0.3" footer="0.3"/>
  <pageSetup paperSize="9" scale="83" orientation="landscape" horizontalDpi="4294967293" verticalDpi="300" r:id="rId1"/>
  <headerFooter alignWithMargins="0"/>
  <rowBreaks count="1" manualBreakCount="1">
    <brk id="35" max="15" man="1"/>
  </rowBreaks>
  <drawing r:id="rId2"/>
  <legacyDrawing r:id="rId3"/>
  <tableParts count="10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4</vt:i4>
      </vt:variant>
    </vt:vector>
  </HeadingPairs>
  <TitlesOfParts>
    <vt:vector size="8" baseType="lpstr">
      <vt:lpstr>mjölkrastjurar</vt:lpstr>
      <vt:lpstr>mjölkraskvigor &amp; stutar</vt:lpstr>
      <vt:lpstr>köttrastjurar</vt:lpstr>
      <vt:lpstr>köttraskvigor &amp; stutar</vt:lpstr>
      <vt:lpstr>'köttraskvigor &amp; stutar'!Utskriftsområde</vt:lpstr>
      <vt:lpstr>köttrastjurar!Utskriftsområde</vt:lpstr>
      <vt:lpstr>'mjölkraskvigor &amp; stutar'!Utskriftsområde</vt:lpstr>
      <vt:lpstr>mjölkrastjurar!Utskriftsområde</vt:lpstr>
    </vt:vector>
  </TitlesOfParts>
  <Manager/>
  <Company>BKH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 Åkerlind</dc:creator>
  <cp:keywords/>
  <dc:description/>
  <cp:lastModifiedBy>Lis Eriksson</cp:lastModifiedBy>
  <cp:revision/>
  <cp:lastPrinted>2024-11-11T14:20:21Z</cp:lastPrinted>
  <dcterms:created xsi:type="dcterms:W3CDTF">2000-05-03T19:47:34Z</dcterms:created>
  <dcterms:modified xsi:type="dcterms:W3CDTF">2024-11-20T13:16:31Z</dcterms:modified>
  <cp:category/>
  <cp:contentStatus/>
</cp:coreProperties>
</file>