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320" windowWidth="9840" windowHeight="6735" activeTab="0"/>
  </bookViews>
  <sheets>
    <sheet name=" endagars" sheetId="1" r:id="rId1"/>
    <sheet name="Blad1" sheetId="2" r:id="rId2"/>
  </sheets>
  <definedNames>
    <definedName name="_xlnm.Print_Area" localSheetId="0">' endagars'!$A$1:$N$68</definedName>
  </definedNames>
  <calcPr fullCalcOnLoad="1"/>
</workbook>
</file>

<file path=xl/comments1.xml><?xml version="1.0" encoding="utf-8"?>
<comments xmlns="http://schemas.openxmlformats.org/spreadsheetml/2006/main">
  <authors>
    <author>Maria  ?kerlind</author>
    <author>Rolf Sp?rndly</author>
    <author>Carin Clason</author>
  </authors>
  <commentList>
    <comment ref="X37" authorId="0">
      <text>
        <r>
          <rPr>
            <sz val="8"/>
            <rFont val="Tahoma"/>
            <family val="0"/>
          </rPr>
          <t>LFU 2001</t>
        </r>
      </text>
    </comment>
    <comment ref="R38" authorId="0">
      <text>
        <r>
          <rPr>
            <sz val="8"/>
            <rFont val="Tahoma"/>
            <family val="0"/>
          </rPr>
          <t>Fodermedelstabell, 2003</t>
        </r>
      </text>
    </comment>
    <comment ref="J41" authorId="0">
      <text>
        <r>
          <rPr>
            <sz val="8"/>
            <rFont val="Tahoma"/>
            <family val="0"/>
          </rPr>
          <t xml:space="preserve"> Underhållsbehov, tillväxt och foster inte inräknat</t>
        </r>
      </text>
    </comment>
    <comment ref="J43" authorId="0">
      <text>
        <r>
          <rPr>
            <sz val="8"/>
            <rFont val="Tahoma"/>
            <family val="0"/>
          </rPr>
          <t>Underhållsbehov, tillväxt och foster inte inräknat</t>
        </r>
      </text>
    </comment>
    <comment ref="K57" authorId="0">
      <text>
        <r>
          <rPr>
            <sz val="8"/>
            <rFont val="Tahoma"/>
            <family val="2"/>
          </rPr>
          <t>26-30 % bra.
&lt;26 % dålig effektivitet
&gt;30 % kan indikera fel i beräkningen</t>
        </r>
      </text>
    </comment>
    <comment ref="K52" authorId="0">
      <text>
        <r>
          <rPr>
            <sz val="8"/>
            <rFont val="Tahoma"/>
            <family val="0"/>
          </rPr>
          <t>1-7 enligt Adrienne Ekelund, SLU</t>
        </r>
      </text>
    </comment>
    <comment ref="P4" authorId="0">
      <text>
        <r>
          <rPr>
            <sz val="8"/>
            <rFont val="Tahoma"/>
            <family val="0"/>
          </rPr>
          <t>Dagligt underhållsbehov per ko</t>
        </r>
      </text>
    </comment>
    <comment ref="T4" authorId="0">
      <text>
        <r>
          <rPr>
            <sz val="8"/>
            <rFont val="Tahoma"/>
            <family val="0"/>
          </rPr>
          <t>AAT-underhåll=(vikt upphöjt till 0,75)*3,25
Fodermedelstabell 2003</t>
        </r>
      </text>
    </comment>
    <comment ref="S7" authorId="0">
      <text>
        <r>
          <rPr>
            <sz val="8"/>
            <rFont val="Tahoma"/>
            <family val="0"/>
          </rPr>
          <t>Energibehov för mjölk och underhåll per ko=(5*energibehov för mjölk+ underhållsbehov)*1,11-13,6.
Fodermedelstabellen, 2003</t>
        </r>
      </text>
    </comment>
    <comment ref="S4" authorId="0">
      <text>
        <r>
          <rPr>
            <sz val="8"/>
            <rFont val="Tahoma"/>
            <family val="0"/>
          </rPr>
          <t>Energi Underhållsbehov per ko=(Vikt upphöjt till 0,75)*0,517.
Fodermedelstabell 1999</t>
        </r>
      </text>
    </comment>
    <comment ref="S9" authorId="0">
      <text>
        <r>
          <rPr>
            <sz val="8"/>
            <rFont val="Tahoma"/>
            <family val="0"/>
          </rPr>
          <t>Energibehov för 250g daglig tillväxt hos 1:a kalvare = 8MJ/ko o dag
Fodermedelstabell, 2003</t>
        </r>
      </text>
    </comment>
    <comment ref="S11" authorId="0">
      <text>
        <r>
          <rPr>
            <sz val="8"/>
            <rFont val="Tahoma"/>
            <family val="0"/>
          </rPr>
          <t>Energibehov för fostertillväxt i 9:e månaden= 0,04*levandevikt -1. Enligt diagram nedan som är baserad på data från Fodermedelstabellen 2003</t>
        </r>
      </text>
    </comment>
    <comment ref="Q59" authorId="0">
      <text>
        <r>
          <rPr>
            <sz val="8"/>
            <rFont val="Tahoma"/>
            <family val="0"/>
          </rPr>
          <t>Fodermedelstabell, 2003</t>
        </r>
      </text>
    </comment>
    <comment ref="P59" authorId="0">
      <text>
        <r>
          <rPr>
            <sz val="8"/>
            <rFont val="Tahoma"/>
            <family val="0"/>
          </rPr>
          <t>Fodermedelstabell, 2003</t>
        </r>
      </text>
    </comment>
    <comment ref="Q10" authorId="0">
      <text>
        <r>
          <rPr>
            <sz val="8"/>
            <rFont val="Tahoma"/>
            <family val="0"/>
          </rPr>
          <t>Antal 1:a kalvare</t>
        </r>
      </text>
    </comment>
    <comment ref="Q12" authorId="0">
      <text>
        <r>
          <rPr>
            <sz val="8"/>
            <rFont val="Tahoma"/>
            <family val="0"/>
          </rPr>
          <t>Antal dräktiga för tillvänjning</t>
        </r>
      </text>
    </comment>
    <comment ref="Q8" authorId="0">
      <text>
        <r>
          <rPr>
            <sz val="8"/>
            <rFont val="Tahoma"/>
            <family val="0"/>
          </rPr>
          <t>Antal lakterande kor</t>
        </r>
      </text>
    </comment>
    <comment ref="Q5" authorId="0">
      <text>
        <r>
          <rPr>
            <sz val="8"/>
            <rFont val="Tahoma"/>
            <family val="0"/>
          </rPr>
          <t>Antal kor på tillvänjning</t>
        </r>
      </text>
    </comment>
    <comment ref="R7" authorId="0">
      <text>
        <r>
          <rPr>
            <sz val="8"/>
            <rFont val="Tahoma"/>
            <family val="0"/>
          </rPr>
          <t>Medelavkastning kg ECM per ko o dag</t>
        </r>
      </text>
    </comment>
    <comment ref="S8" authorId="0">
      <text>
        <r>
          <rPr>
            <sz val="8"/>
            <rFont val="Tahoma"/>
            <family val="0"/>
          </rPr>
          <t>antal lakterande kor*medelavkastning</t>
        </r>
      </text>
    </comment>
    <comment ref="T7" authorId="0">
      <text>
        <r>
          <rPr>
            <sz val="8"/>
            <rFont val="Tahoma"/>
            <family val="0"/>
          </rPr>
          <t xml:space="preserve">AAT-behov=Energibehov*7,6
Fodermedelstabell 2003
</t>
        </r>
      </text>
    </comment>
    <comment ref="T8" authorId="0">
      <text>
        <r>
          <rPr>
            <sz val="8"/>
            <rFont val="Tahoma"/>
            <family val="2"/>
          </rPr>
          <t>AATbehov = antal lakterande kor*AATbehov för lakterande kors underhåll och mjölk</t>
        </r>
      </text>
    </comment>
    <comment ref="T9" authorId="0">
      <text>
        <r>
          <rPr>
            <sz val="8"/>
            <rFont val="Tahoma"/>
            <family val="0"/>
          </rPr>
          <t xml:space="preserve">AAT-behov för 250g daglig tillväxt hos 1:a kalvare = 52 AAT/ko o dag
Fodermedelstabell, 2003
</t>
        </r>
      </text>
    </comment>
    <comment ref="T11" authorId="0">
      <text>
        <r>
          <rPr>
            <sz val="8"/>
            <rFont val="Tahoma"/>
            <family val="0"/>
          </rPr>
          <t>AATbehov för fostertillväxt i 9:e månaden= 0,238*levande vikt +23,6. Enligt diagram nedan som är baserad på data från Fodermedelstabellen 2003</t>
        </r>
      </text>
    </comment>
    <comment ref="S10" authorId="0">
      <text>
        <r>
          <rPr>
            <sz val="8"/>
            <rFont val="Tahoma"/>
            <family val="0"/>
          </rPr>
          <t>=antal 1:a kalvare*energibehovet för tillväxt</t>
        </r>
      </text>
    </comment>
    <comment ref="S12" authorId="0">
      <text>
        <r>
          <rPr>
            <sz val="8"/>
            <rFont val="Tahoma"/>
            <family val="0"/>
          </rPr>
          <t>antal kor för tillvänjning*energibehov för dräktighet i ).e månaden</t>
        </r>
      </text>
    </comment>
    <comment ref="T12" authorId="0">
      <text>
        <r>
          <rPr>
            <sz val="8"/>
            <rFont val="Tahoma"/>
            <family val="0"/>
          </rPr>
          <t>antal kor för tillvänjning*AAT-behov för dräktighet i 9:e månaden</t>
        </r>
      </text>
    </comment>
    <comment ref="U12" authorId="0">
      <text>
        <r>
          <rPr>
            <sz val="8"/>
            <rFont val="Tahoma"/>
            <family val="0"/>
          </rPr>
          <t>antal kor för tillvänjning*Ca-behov för dräktighet i 9:e månaden</t>
        </r>
      </text>
    </comment>
    <comment ref="V12" authorId="0">
      <text>
        <r>
          <rPr>
            <sz val="8"/>
            <rFont val="Tahoma"/>
            <family val="0"/>
          </rPr>
          <t>antal kor för tillvänjning*P-behov för dräktighet i 9:e månaden</t>
        </r>
      </text>
    </comment>
    <comment ref="W7" authorId="0">
      <text>
        <r>
          <rPr>
            <sz val="8"/>
            <rFont val="Tahoma"/>
            <family val="0"/>
          </rPr>
          <t xml:space="preserve">Foderetabellen, 2003
</t>
        </r>
      </text>
    </comment>
    <comment ref="W8" authorId="0">
      <text>
        <r>
          <rPr>
            <sz val="8"/>
            <rFont val="Tahoma"/>
            <family val="0"/>
          </rPr>
          <t>antal lakterande kor*Evitaminbehov under laktationen</t>
        </r>
      </text>
    </comment>
    <comment ref="V7" authorId="0">
      <text>
        <r>
          <rPr>
            <sz val="8"/>
            <rFont val="Tahoma"/>
            <family val="0"/>
          </rPr>
          <t>Fosforbehov=1,6*kg ECM
Fodermedelstabell, 2003</t>
        </r>
      </text>
    </comment>
    <comment ref="U7" authorId="0">
      <text>
        <r>
          <rPr>
            <sz val="8"/>
            <rFont val="Tahoma"/>
            <family val="0"/>
          </rPr>
          <t>Kalciumbehov=2,6*kg ECM
Fodermedelstabell, 2003</t>
        </r>
      </text>
    </comment>
    <comment ref="U8" authorId="0">
      <text>
        <r>
          <rPr>
            <sz val="8"/>
            <rFont val="Tahoma"/>
            <family val="0"/>
          </rPr>
          <t>antal lakterande kor*kalciumbehov för mjölkproduktionen</t>
        </r>
      </text>
    </comment>
    <comment ref="V8" authorId="0">
      <text>
        <r>
          <rPr>
            <sz val="8"/>
            <rFont val="Tahoma"/>
            <family val="0"/>
          </rPr>
          <t xml:space="preserve">antal lakterande kor *fosforbehov för mjölkproduktionen </t>
        </r>
      </text>
    </comment>
    <comment ref="U4" authorId="0">
      <text>
        <r>
          <rPr>
            <sz val="8"/>
            <rFont val="Tahoma"/>
            <family val="0"/>
          </rPr>
          <t>Kalciumbehov för underhåll= 0,03*levandevikt +13. Enligt diagram nedan som är baserad på data från Fodermedelstabellen 2003</t>
        </r>
      </text>
    </comment>
    <comment ref="U6" authorId="0">
      <text>
        <r>
          <rPr>
            <sz val="8"/>
            <rFont val="Tahoma"/>
            <family val="0"/>
          </rPr>
          <t>Antal lakterande kor*klaciumunderhållsbehov</t>
        </r>
      </text>
    </comment>
    <comment ref="Q6" authorId="0">
      <text>
        <r>
          <rPr>
            <sz val="8"/>
            <rFont val="Tahoma"/>
            <family val="0"/>
          </rPr>
          <t>Antal mjölkande. Enbart för beräkningar av underhållsbehov av kalcium och fosfor</t>
        </r>
      </text>
    </comment>
    <comment ref="U11" authorId="0">
      <text>
        <r>
          <rPr>
            <sz val="8"/>
            <rFont val="Tahoma"/>
            <family val="0"/>
          </rPr>
          <t>Kalciumbehov för fostertillväxti 9:e månaden= 0,03*levande vikt. Enligt diagram nedan som är baserad på data från Fodermedelstabellen 2003</t>
        </r>
      </text>
    </comment>
    <comment ref="V11" authorId="0">
      <text>
        <r>
          <rPr>
            <sz val="8"/>
            <rFont val="Tahoma"/>
            <family val="0"/>
          </rPr>
          <t xml:space="preserve">Fosforebehov för fostertillväxt i 9:e månaden =0,02*levande vikt +1. Enligt diagram nedan som är baserad på data från Fodermedelstabellen 2003
</t>
        </r>
      </text>
    </comment>
    <comment ref="U5" authorId="0">
      <text>
        <r>
          <rPr>
            <sz val="8"/>
            <rFont val="Tahoma"/>
            <family val="0"/>
          </rPr>
          <t>antal tillvänjningskor * kalciumunderhållsbehov</t>
        </r>
      </text>
    </comment>
    <comment ref="V4" authorId="0">
      <text>
        <r>
          <rPr>
            <sz val="8"/>
            <rFont val="Tahoma"/>
            <family val="0"/>
          </rPr>
          <t>Fosforbehov för underhåll= 0,02*levande vikt +7. Enligt diagram nedan som är baserad på data från Fodermedelstabel</t>
        </r>
      </text>
    </comment>
    <comment ref="V5" authorId="0">
      <text>
        <r>
          <rPr>
            <sz val="8"/>
            <rFont val="Tahoma"/>
            <family val="0"/>
          </rPr>
          <t>antal tillvänjningskor *fosforunderhållsbehov</t>
        </r>
      </text>
    </comment>
    <comment ref="V6" authorId="0">
      <text>
        <r>
          <rPr>
            <sz val="8"/>
            <rFont val="Tahoma"/>
            <family val="0"/>
          </rPr>
          <t>antal lakterande kor*fosforunderhållsbehov</t>
        </r>
      </text>
    </comment>
    <comment ref="U9" authorId="0">
      <text>
        <r>
          <rPr>
            <sz val="8"/>
            <rFont val="Tahoma"/>
            <family val="0"/>
          </rPr>
          <t>Kalciumbehov för 250 g daglig tillväxt hos 1:a-kalvare
Fodermedelstabell 2003</t>
        </r>
      </text>
    </comment>
    <comment ref="V9" authorId="0">
      <text>
        <r>
          <rPr>
            <sz val="8"/>
            <rFont val="Tahoma"/>
            <family val="0"/>
          </rPr>
          <t>Fosforbehov för 250 g daglig tillväxt hos 1:a-kalvare
Fodermedelstabell 2003</t>
        </r>
      </text>
    </comment>
    <comment ref="V10" authorId="0">
      <text>
        <r>
          <rPr>
            <sz val="8"/>
            <rFont val="Tahoma"/>
            <family val="0"/>
          </rPr>
          <t>antal 1:a kalvare *fosforbehovet för tillväxt</t>
        </r>
      </text>
    </comment>
    <comment ref="T10" authorId="0">
      <text>
        <r>
          <rPr>
            <sz val="8"/>
            <rFont val="Tahoma"/>
            <family val="0"/>
          </rPr>
          <t>antal 1:a kalvare*AATibehovet för tillväxt</t>
        </r>
      </text>
    </comment>
    <comment ref="U10" authorId="0">
      <text>
        <r>
          <rPr>
            <sz val="8"/>
            <rFont val="Tahoma"/>
            <family val="0"/>
          </rPr>
          <t>antal 1:a kalvare *kalciumbehovet för tillväxt</t>
        </r>
      </text>
    </comment>
    <comment ref="T5" authorId="0">
      <text>
        <r>
          <rPr>
            <sz val="8"/>
            <rFont val="Tahoma"/>
            <family val="0"/>
          </rPr>
          <t>antal tillvänjningskor*AATunderhållsbehov</t>
        </r>
      </text>
    </comment>
    <comment ref="S5" authorId="0">
      <text>
        <r>
          <rPr>
            <sz val="8"/>
            <rFont val="Tahoma"/>
            <family val="0"/>
          </rPr>
          <t>antal tillvänjningskor*energiunderhållsbehov</t>
        </r>
      </text>
    </comment>
    <comment ref="P5" authorId="0">
      <text>
        <r>
          <rPr>
            <sz val="8"/>
            <rFont val="Tahoma"/>
            <family val="0"/>
          </rPr>
          <t>Summa underhållsbehov för dräktiga kor i tillvänjningsperioden</t>
        </r>
      </text>
    </comment>
    <comment ref="P6" authorId="0">
      <text>
        <r>
          <rPr>
            <sz val="8"/>
            <rFont val="Tahoma"/>
            <family val="0"/>
          </rPr>
          <t>Underhållsbehov för lakternade kor. Notera att underhåll för energi och AAT beräknas under mjölkproduktionen</t>
        </r>
      </text>
    </comment>
    <comment ref="P7" authorId="0">
      <text>
        <r>
          <rPr>
            <sz val="8"/>
            <rFont val="Tahoma"/>
            <family val="0"/>
          </rPr>
          <t>Behov för mjölkproduktionen</t>
        </r>
      </text>
    </comment>
    <comment ref="P9" authorId="0">
      <text>
        <r>
          <rPr>
            <sz val="8"/>
            <rFont val="Tahoma"/>
            <family val="0"/>
          </rPr>
          <t>Extra behov för 1:a kalvarnas tillväxt 250g/d</t>
        </r>
      </text>
    </comment>
    <comment ref="P11" authorId="0">
      <text>
        <r>
          <rPr>
            <sz val="8"/>
            <rFont val="Tahoma"/>
            <family val="0"/>
          </rPr>
          <t>Extra behov för fostertillväxt</t>
        </r>
      </text>
    </comment>
    <comment ref="R4" authorId="0">
      <text>
        <r>
          <rPr>
            <sz val="8"/>
            <rFont val="Tahoma"/>
            <family val="0"/>
          </rPr>
          <t>Genomsnittlig vikt</t>
        </r>
      </text>
    </comment>
    <comment ref="R11" authorId="0">
      <text>
        <r>
          <rPr>
            <sz val="8"/>
            <rFont val="Tahoma"/>
            <family val="0"/>
          </rPr>
          <t>Genomsnittlig vikt hos sinkor och kvigor på tillvänjning. Om det ej finns kor på tillvänjning så visas den genomsnittliga vikten på alla kor.</t>
        </r>
      </text>
    </comment>
    <comment ref="S13" authorId="0">
      <text>
        <r>
          <rPr>
            <sz val="8"/>
            <rFont val="Tahoma"/>
            <family val="0"/>
          </rPr>
          <t>Totalt behov = summaposterna av underhåll +  mjölkproduktion + tillväxt + foster</t>
        </r>
      </text>
    </comment>
    <comment ref="T13" authorId="0">
      <text>
        <r>
          <rPr>
            <sz val="8"/>
            <rFont val="Tahoma"/>
            <family val="0"/>
          </rPr>
          <t>Totalt behov = summaposterna av underhåll +  mjölkproduktion + tillväxt + foster</t>
        </r>
      </text>
    </comment>
    <comment ref="V13" authorId="0">
      <text>
        <r>
          <rPr>
            <sz val="8"/>
            <rFont val="Tahoma"/>
            <family val="0"/>
          </rPr>
          <t>Totalt behov = summaposterna av underhåll +  mjölkproduktion + tillväxt + foster</t>
        </r>
      </text>
    </comment>
    <comment ref="W13" authorId="0">
      <text>
        <r>
          <rPr>
            <sz val="8"/>
            <rFont val="Tahoma"/>
            <family val="0"/>
          </rPr>
          <t>Totalt behov = summaposterna av  mjölkproduktion + dräktighet</t>
        </r>
      </text>
    </comment>
    <comment ref="U13" authorId="0">
      <text>
        <r>
          <rPr>
            <sz val="8"/>
            <rFont val="Tahoma"/>
            <family val="0"/>
          </rPr>
          <t>Totalt behov = summaposterna av underhåll +  mjölkproduktion + tillväxt + foster</t>
        </r>
      </text>
    </comment>
    <comment ref="S38" authorId="0">
      <text>
        <r>
          <rPr>
            <sz val="8"/>
            <rFont val="Tahoma"/>
            <family val="0"/>
          </rPr>
          <t>Fodermedelstabell, 2003</t>
        </r>
      </text>
    </comment>
    <comment ref="U38" authorId="0">
      <text>
        <r>
          <rPr>
            <sz val="8"/>
            <rFont val="Tahoma"/>
            <family val="0"/>
          </rPr>
          <t>Fodermedelstabell, 2003</t>
        </r>
      </text>
    </comment>
    <comment ref="T38" authorId="0">
      <text>
        <r>
          <rPr>
            <sz val="8"/>
            <rFont val="Tahoma"/>
            <family val="0"/>
          </rPr>
          <t>Fodermedelstabell, 2003</t>
        </r>
      </text>
    </comment>
    <comment ref="P57" authorId="0">
      <text>
        <r>
          <rPr>
            <sz val="8"/>
            <rFont val="Tahoma"/>
            <family val="0"/>
          </rPr>
          <t>Fodermedelstabell, 2003</t>
        </r>
      </text>
    </comment>
    <comment ref="R57" authorId="0">
      <text>
        <r>
          <rPr>
            <sz val="8"/>
            <rFont val="Tahoma"/>
            <family val="0"/>
          </rPr>
          <t>Fodermedelstabell, 2003</t>
        </r>
      </text>
    </comment>
    <comment ref="R59" authorId="0">
      <text>
        <r>
          <rPr>
            <sz val="8"/>
            <rFont val="Tahoma"/>
            <family val="0"/>
          </rPr>
          <t>Fodermedelstabell, 2003</t>
        </r>
      </text>
    </comment>
    <comment ref="S59" authorId="0">
      <text>
        <r>
          <rPr>
            <sz val="8"/>
            <rFont val="Tahoma"/>
            <family val="0"/>
          </rPr>
          <t>Fodermedelstabell, 2003</t>
        </r>
      </text>
    </comment>
    <comment ref="P15" authorId="0">
      <text>
        <r>
          <rPr>
            <sz val="8"/>
            <rFont val="Tahoma"/>
            <family val="0"/>
          </rPr>
          <t>Fodermedelstabellen, 2003</t>
        </r>
      </text>
    </comment>
    <comment ref="P16" authorId="0">
      <text>
        <r>
          <rPr>
            <sz val="8"/>
            <rFont val="Tahoma"/>
            <family val="0"/>
          </rPr>
          <t>Ingår detta fodermedel i en mix eller ett foder som ges till andra djur så sätt en 1 annars 0 eller inte ifyllt alls</t>
        </r>
      </text>
    </comment>
    <comment ref="F43" authorId="0">
      <text>
        <r>
          <rPr>
            <sz val="8"/>
            <rFont val="Tahoma"/>
            <family val="0"/>
          </rPr>
          <t>Rek. ts-giva enligt LFU, 2001,
Kg ts=0,43*kg mjölk+5,7</t>
        </r>
      </text>
    </comment>
    <comment ref="L45" authorId="0">
      <text>
        <r>
          <rPr>
            <sz val="8"/>
            <rFont val="Tahoma"/>
            <family val="0"/>
          </rPr>
          <t>Rekommendation enligt LFU (2001)</t>
        </r>
      </text>
    </comment>
    <comment ref="L46" authorId="0">
      <text>
        <r>
          <rPr>
            <sz val="8"/>
            <rFont val="Tahoma"/>
            <family val="0"/>
          </rPr>
          <t>Rekommendation enligt LFU (2001)</t>
        </r>
      </text>
    </comment>
    <comment ref="K47" authorId="0">
      <text>
        <r>
          <rPr>
            <sz val="8"/>
            <rFont val="Tahoma"/>
            <family val="0"/>
          </rPr>
          <t>NRC, 2001
20 till mjölkande
80 till sinkor</t>
        </r>
      </text>
    </comment>
    <comment ref="AC17" authorId="0">
      <text>
        <r>
          <rPr>
            <sz val="8"/>
            <rFont val="Tahoma"/>
            <family val="0"/>
          </rPr>
          <t>Konsumerat foderkväve (N)= kgTS*Rp%/6,25</t>
        </r>
      </text>
    </comment>
    <comment ref="AD17" authorId="0">
      <text>
        <r>
          <rPr>
            <sz val="8"/>
            <rFont val="Tahoma"/>
            <family val="0"/>
          </rPr>
          <t>Konsumerat KRAV kg ts</t>
        </r>
      </text>
    </comment>
    <comment ref="J57" authorId="0">
      <text>
        <r>
          <rPr>
            <sz val="8"/>
            <rFont val="Tahoma"/>
            <family val="0"/>
          </rPr>
          <t>mjölkprotein/foderprotein</t>
        </r>
      </text>
    </comment>
    <comment ref="J58" authorId="0">
      <text>
        <r>
          <rPr>
            <sz val="8"/>
            <rFont val="Tahoma"/>
            <family val="0"/>
          </rPr>
          <t>inköpt foderprotein / konsumerat foderprotein. Observera att det inköpta foderprotein är konsumerat. Resterna inräknas ej här</t>
        </r>
      </text>
    </comment>
    <comment ref="F4" authorId="0">
      <text>
        <r>
          <rPr>
            <sz val="8"/>
            <rFont val="Tahoma"/>
            <family val="0"/>
          </rPr>
          <t xml:space="preserve">
Uppbundet =0
Lösdrift =1</t>
        </r>
      </text>
    </comment>
    <comment ref="D66" authorId="0">
      <text>
        <r>
          <rPr>
            <sz val="8"/>
            <rFont val="Tahoma"/>
            <family val="2"/>
          </rPr>
          <t>Då lösdrift anses öka energibehovet med 10% så ska denna formel användas:</t>
        </r>
        <r>
          <rPr>
            <sz val="8"/>
            <rFont val="Tahoma"/>
            <family val="0"/>
          </rPr>
          <t xml:space="preserve">
=OM(F3=0;T29/S13;T29/(S13*1,1))</t>
        </r>
      </text>
    </comment>
    <comment ref="D63" authorId="0">
      <text>
        <r>
          <rPr>
            <sz val="8"/>
            <rFont val="Tahoma"/>
            <family val="0"/>
          </rPr>
          <t xml:space="preserve">Energibehov för mjölk och vikt/ (konsumerad energi-behov för tillväxt o foster och sinkors underhåll)
</t>
        </r>
      </text>
    </comment>
    <comment ref="K46" authorId="1">
      <text>
        <r>
          <rPr>
            <sz val="8"/>
            <rFont val="Tahoma"/>
            <family val="0"/>
          </rPr>
          <t xml:space="preserve">Enligt NRC 1988
</t>
        </r>
      </text>
    </comment>
    <comment ref="E43" authorId="1">
      <text>
        <r>
          <rPr>
            <sz val="8"/>
            <rFont val="Tahoma"/>
            <family val="0"/>
          </rPr>
          <t>Ber. foderintag vid fri tillgång enl Bertilsson&amp;Burstedt, 1983
Kg ts=4,9+ 0,015*lev vikt +0,2*kg ECM</t>
        </r>
      </text>
    </comment>
    <comment ref="W11" authorId="1">
      <text>
        <r>
          <rPr>
            <b/>
            <sz val="8"/>
            <rFont val="Tahoma"/>
            <family val="0"/>
          </rPr>
          <t>Fodertabellen, 2003</t>
        </r>
        <r>
          <rPr>
            <sz val="8"/>
            <rFont val="Tahoma"/>
            <family val="0"/>
          </rPr>
          <t xml:space="preserve">
</t>
        </r>
      </text>
    </comment>
    <comment ref="K49" authorId="1">
      <text>
        <r>
          <rPr>
            <b/>
            <sz val="8"/>
            <rFont val="Tahoma"/>
            <family val="0"/>
          </rPr>
          <t>Ekelund, SLU:</t>
        </r>
        <r>
          <rPr>
            <sz val="8"/>
            <rFont val="Tahoma"/>
            <family val="0"/>
          </rPr>
          <t xml:space="preserve">
brist vid &lt; 0.30 %
onödig överutfodring vid &gt;0.38
</t>
        </r>
      </text>
    </comment>
    <comment ref="L48" authorId="1">
      <text>
        <r>
          <rPr>
            <sz val="8"/>
            <rFont val="Tahoma"/>
            <family val="0"/>
          </rPr>
          <t>Enligt LFU:
0.55 % - 10 kg mjölk
0.59 % - 60 kg mjölk
0.39 % - sinkor</t>
        </r>
      </text>
    </comment>
    <comment ref="L49" authorId="1">
      <text>
        <r>
          <rPr>
            <sz val="8"/>
            <rFont val="Tahoma"/>
            <family val="2"/>
          </rPr>
          <t>Enligt LFU:
0.40 % - 10 kg mjölk</t>
        </r>
        <r>
          <rPr>
            <sz val="8"/>
            <rFont val="Tahoma"/>
            <family val="0"/>
          </rPr>
          <t xml:space="preserve">
0.38 % - 60 kg mjölk
0.26 % - sinkor
</t>
        </r>
      </text>
    </comment>
    <comment ref="D64" authorId="2">
      <text>
        <r>
          <rPr>
            <b/>
            <sz val="8"/>
            <rFont val="Tahoma"/>
            <family val="0"/>
          </rPr>
          <t>Carin Clason:</t>
        </r>
        <r>
          <rPr>
            <sz val="8"/>
            <rFont val="Tahoma"/>
            <family val="0"/>
          </rPr>
          <t xml:space="preserve">
1,4-1,6 önskvärt enligt Keenan.  Obs det är kg ECM per dag delat med totalt ts-intag</t>
        </r>
      </text>
    </comment>
  </commentList>
</comments>
</file>

<file path=xl/sharedStrings.xml><?xml version="1.0" encoding="utf-8"?>
<sst xmlns="http://schemas.openxmlformats.org/spreadsheetml/2006/main" count="212" uniqueCount="182">
  <si>
    <t>Energi, MJ</t>
  </si>
  <si>
    <t>AAT, g</t>
  </si>
  <si>
    <t>PBV, g</t>
  </si>
  <si>
    <t>Ts-halt, %</t>
  </si>
  <si>
    <t>Antal kor</t>
  </si>
  <si>
    <t>kg ECM</t>
  </si>
  <si>
    <t>Fodermedel</t>
  </si>
  <si>
    <t>Ca, g</t>
  </si>
  <si>
    <t>P, g</t>
  </si>
  <si>
    <t>Foderkostnad</t>
  </si>
  <si>
    <t>Förening:</t>
  </si>
  <si>
    <t>Vägningsdatum</t>
  </si>
  <si>
    <t>Lösdrift</t>
  </si>
  <si>
    <t>Bes nr</t>
  </si>
  <si>
    <t>Totalt</t>
  </si>
  <si>
    <t>1:a kalvare</t>
  </si>
  <si>
    <t>Vikt</t>
  </si>
  <si>
    <t>kg foder</t>
  </si>
  <si>
    <t>Resultat</t>
  </si>
  <si>
    <t>kg ECM/ko o dag</t>
  </si>
  <si>
    <t>kg ts grovfoder/ko o dag</t>
  </si>
  <si>
    <t>kg ts kraftfoder/ko o dag</t>
  </si>
  <si>
    <t>% grovfoder</t>
  </si>
  <si>
    <t>Grf %</t>
  </si>
  <si>
    <t>Koncentrationsgrad MJ/kg ts</t>
  </si>
  <si>
    <t>Utfodring % av norm</t>
  </si>
  <si>
    <t>Energi</t>
  </si>
  <si>
    <t>AAT</t>
  </si>
  <si>
    <t>Mineralbalans</t>
  </si>
  <si>
    <t>Kr/dag</t>
  </si>
  <si>
    <t>kr/ko o dag</t>
  </si>
  <si>
    <t>Sinkor</t>
  </si>
  <si>
    <t>Utfodrat</t>
  </si>
  <si>
    <t>Energi, MJ/kg ECM</t>
  </si>
  <si>
    <t>AAT, g/kg ECM</t>
  </si>
  <si>
    <t>AAT g/ MJ</t>
  </si>
  <si>
    <t>PBV, g/ko</t>
  </si>
  <si>
    <t>Pris, öre</t>
  </si>
  <si>
    <t>Tillväxt</t>
  </si>
  <si>
    <t>Summa mjölk</t>
  </si>
  <si>
    <t>Summa tillväxt</t>
  </si>
  <si>
    <t>Foster, 9 mån</t>
  </si>
  <si>
    <t>Summa foster</t>
  </si>
  <si>
    <t>Vikt/prod</t>
  </si>
  <si>
    <t>SUMMA BEHOV</t>
  </si>
  <si>
    <t>kg ts grf</t>
  </si>
  <si>
    <t xml:space="preserve">        Mjölkande</t>
  </si>
  <si>
    <t>äldre</t>
  </si>
  <si>
    <t>Kvigor</t>
  </si>
  <si>
    <t>Mjölkintäkt-foderkostnad</t>
  </si>
  <si>
    <t>Lev vikt</t>
  </si>
  <si>
    <t>Underhåll</t>
  </si>
  <si>
    <t>Foster</t>
  </si>
  <si>
    <t>Cau</t>
  </si>
  <si>
    <t>Pu</t>
  </si>
  <si>
    <t>Caf</t>
  </si>
  <si>
    <t>Pf</t>
  </si>
  <si>
    <t>hö</t>
  </si>
  <si>
    <t>unik 52 klr</t>
  </si>
  <si>
    <t>HP-massa</t>
  </si>
  <si>
    <t>Ens 2:a skörd</t>
  </si>
  <si>
    <t>Tillvänjning/Sinkor</t>
  </si>
  <si>
    <t>Totalt per dag</t>
  </si>
  <si>
    <t>per mjölkande ko</t>
  </si>
  <si>
    <t>Råprot, g</t>
  </si>
  <si>
    <t>NDF, g</t>
  </si>
  <si>
    <t>Rp% av ts</t>
  </si>
  <si>
    <t>NDF% av ts</t>
  </si>
  <si>
    <t>Energi MJ</t>
  </si>
  <si>
    <t>MJ/kg ts</t>
  </si>
  <si>
    <t>gAAT/kg ts</t>
  </si>
  <si>
    <t xml:space="preserve"> ----------------------------g/kg ts-----------------------------</t>
  </si>
  <si>
    <t>Fett%</t>
  </si>
  <si>
    <t>Protein%</t>
  </si>
  <si>
    <t>MJÖLK, kg</t>
  </si>
  <si>
    <t>ANTAL kor</t>
  </si>
  <si>
    <t>kg ts foder/ko o dag</t>
  </si>
  <si>
    <t>kg ts krf/kg ECM</t>
  </si>
  <si>
    <t>mg/kg ts</t>
  </si>
  <si>
    <t>E-vit, mg</t>
  </si>
  <si>
    <t>Kgts foder</t>
  </si>
  <si>
    <t>kg ECM/dag</t>
  </si>
  <si>
    <t>kg ts krf/kg mjölk</t>
  </si>
  <si>
    <t xml:space="preserve">Behov av </t>
  </si>
  <si>
    <t>kalcium</t>
  </si>
  <si>
    <t>fosfor</t>
  </si>
  <si>
    <t>E-vit mg</t>
  </si>
  <si>
    <t>Mängder</t>
  </si>
  <si>
    <t>Besättning</t>
  </si>
  <si>
    <t>Datum</t>
  </si>
  <si>
    <t>kr/kg ECM</t>
  </si>
  <si>
    <t>Ca/P-kvot</t>
  </si>
  <si>
    <t>Eget resultat</t>
  </si>
  <si>
    <t>&lt;0,38</t>
  </si>
  <si>
    <t>0-300</t>
  </si>
  <si>
    <t>avkastningsnivå</t>
  </si>
  <si>
    <t>tsintag</t>
  </si>
  <si>
    <t>råprotein%</t>
  </si>
  <si>
    <t>5-5,5</t>
  </si>
  <si>
    <t>40-50</t>
  </si>
  <si>
    <t>NDF%</t>
  </si>
  <si>
    <t>ECM=((383*F%+242*P%+783,2)/3140)*kg</t>
  </si>
  <si>
    <t>Totalt foder</t>
  </si>
  <si>
    <t>Kornas näringsbehov</t>
  </si>
  <si>
    <t>AAT g</t>
  </si>
  <si>
    <t>Ca g</t>
  </si>
  <si>
    <t>P g</t>
  </si>
  <si>
    <t>för</t>
  </si>
  <si>
    <t>KRAV</t>
  </si>
  <si>
    <t>Kväveeffektivitet</t>
  </si>
  <si>
    <t>Suverän</t>
  </si>
  <si>
    <t>per ko</t>
  </si>
  <si>
    <t>Riktvärde</t>
  </si>
  <si>
    <t>7,6-8,3</t>
  </si>
  <si>
    <t>MjölkN/foderN</t>
  </si>
  <si>
    <t>Ca % av ts</t>
  </si>
  <si>
    <t>P % av ts</t>
  </si>
  <si>
    <t>&gt;28%</t>
  </si>
  <si>
    <t>EnergiDr9</t>
  </si>
  <si>
    <t>AAT Dr9</t>
  </si>
  <si>
    <t>för Dr</t>
  </si>
  <si>
    <t>EnergiDr8</t>
  </si>
  <si>
    <t>AAT Dr8</t>
  </si>
  <si>
    <t>Sum f tillvänj</t>
  </si>
  <si>
    <t>Sum f lakterande</t>
  </si>
  <si>
    <r>
      <t>Mjölkprod</t>
    </r>
    <r>
      <rPr>
        <sz val="8"/>
        <rFont val="Arial"/>
        <family val="2"/>
      </rPr>
      <t>/ko o dag</t>
    </r>
  </si>
  <si>
    <t>Ensilage/Mix till ungdjur</t>
  </si>
  <si>
    <t>Rester av ensilage/mix</t>
  </si>
  <si>
    <t>Summa konsumerat</t>
  </si>
  <si>
    <t>Ingår i rester</t>
  </si>
  <si>
    <t>el. ingår i mix</t>
  </si>
  <si>
    <t>kg rest+ungdjur</t>
  </si>
  <si>
    <t xml:space="preserve"> ----------------------------------------------------------per kg ts----------------------------------------------             </t>
  </si>
  <si>
    <t>Summa utfodrat kg</t>
  </si>
  <si>
    <t>Skriv ut sida 1 o 2</t>
  </si>
  <si>
    <t>8:e mån</t>
  </si>
  <si>
    <t>9:e mån</t>
  </si>
  <si>
    <t>9:e månad i Dr</t>
  </si>
  <si>
    <t>köpfoder</t>
  </si>
  <si>
    <t>ts-halt i</t>
  </si>
  <si>
    <t>foderstaten</t>
  </si>
  <si>
    <t>%grf</t>
  </si>
  <si>
    <t>g PBV/kgts</t>
  </si>
  <si>
    <t>InköptN/foderN</t>
  </si>
  <si>
    <t>&gt;85%</t>
  </si>
  <si>
    <t>&lt;110%</t>
  </si>
  <si>
    <t>Fodereffektivitet</t>
  </si>
  <si>
    <t>Senaste tankurea</t>
  </si>
  <si>
    <t>Urea i mjölktanken</t>
  </si>
  <si>
    <t>3,5-5,0</t>
  </si>
  <si>
    <t>Ekologisk produktion</t>
  </si>
  <si>
    <t>KRAV%</t>
  </si>
  <si>
    <t>&gt;95%</t>
  </si>
  <si>
    <t>Foder XYZ</t>
  </si>
  <si>
    <t>Kostn kr</t>
  </si>
  <si>
    <t>InköptRp</t>
  </si>
  <si>
    <t xml:space="preserve"> --- g/kg ts ---</t>
  </si>
  <si>
    <t>1 till 7</t>
  </si>
  <si>
    <t>Mjölkpris</t>
  </si>
  <si>
    <t>jfr LFU</t>
  </si>
  <si>
    <t xml:space="preserve">Fyll i gulfärgade rutor. </t>
  </si>
  <si>
    <t>&lt;105%</t>
  </si>
  <si>
    <t>E-vit, mg/kg ts</t>
  </si>
  <si>
    <t xml:space="preserve"> -5 till +15</t>
  </si>
  <si>
    <t xml:space="preserve"> -5 till + 15</t>
  </si>
  <si>
    <t>0.55-0.59</t>
  </si>
  <si>
    <t>0.38-0.40</t>
  </si>
  <si>
    <t>20-80</t>
  </si>
  <si>
    <t>&gt;0.30</t>
  </si>
  <si>
    <t>Ca g/ko o dag jfr. m. rek.</t>
  </si>
  <si>
    <t>P g/ko o dag   jfr. m. rek.</t>
  </si>
  <si>
    <t>EN-DAGARS FODERSTATSKONTROLL</t>
  </si>
  <si>
    <t>kg ECM/kg ts</t>
  </si>
  <si>
    <t>1,4-1,6</t>
  </si>
  <si>
    <t>halm</t>
  </si>
  <si>
    <t xml:space="preserve"> </t>
  </si>
  <si>
    <t>Kross</t>
  </si>
  <si>
    <t>Fettopp</t>
  </si>
  <si>
    <t>pellivimin</t>
  </si>
  <si>
    <t>x</t>
  </si>
  <si>
    <t>Ensilage</t>
  </si>
  <si>
    <t>(Skapad av: Maria Åkerlind och Carin Clason)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</si>
</sst>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0.0000"/>
    <numFmt numFmtId="167" formatCode="0.0%"/>
    <numFmt numFmtId="168" formatCode="0.000000"/>
    <numFmt numFmtId="169" formatCode="0.00000"/>
    <numFmt numFmtId="170" formatCode="_-* #,##0.0\ &quot;kr&quot;_-;\-* #,##0.0\ &quot;kr&quot;_-;_-* &quot;-&quot;??\ &quot;kr&quot;_-;_-@_-"/>
    <numFmt numFmtId="171" formatCode="_-* #,##0\ &quot;kr&quot;_-;\-* #,##0\ &quot;kr&quot;_-;_-* &quot;-&quot;??\ &quot;kr&quot;_-;_-@_-"/>
    <numFmt numFmtId="172" formatCode="_-* #,##0.0\ _k_r_-;\-* #,##0.0\ _k_r_-;_-* &quot;-&quot;?\ _k_r_-;_-@_-"/>
  </numFmts>
  <fonts count="8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0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5"/>
      <color indexed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9.2"/>
      <color indexed="8"/>
      <name val="Arial"/>
      <family val="0"/>
    </font>
    <font>
      <vertAlign val="superscript"/>
      <sz val="8.7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vertAlign val="superscript"/>
      <sz val="9.7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vertAlign val="superscript"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20" borderId="1" applyNumberFormat="0" applyFont="0" applyAlignment="0" applyProtection="0"/>
    <xf numFmtId="0" fontId="66" fillId="21" borderId="2" applyNumberFormat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31" borderId="3" applyNumberFormat="0" applyAlignment="0" applyProtection="0"/>
    <xf numFmtId="0" fontId="72" fillId="0" borderId="4" applyNumberFormat="0" applyFill="0" applyAlignment="0" applyProtection="0"/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165" fontId="16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5" fontId="9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165" fontId="5" fillId="33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0" fontId="18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165" fontId="0" fillId="33" borderId="10" xfId="0" applyNumberFormat="1" applyFont="1" applyFill="1" applyBorder="1" applyAlignment="1" applyProtection="1">
      <alignment horizontal="center"/>
      <protection locked="0"/>
    </xf>
    <xf numFmtId="2" fontId="5" fillId="33" borderId="12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/>
      <protection locked="0"/>
    </xf>
    <xf numFmtId="167" fontId="0" fillId="33" borderId="10" xfId="48" applyNumberFormat="1" applyFont="1" applyFill="1" applyBorder="1" applyAlignment="1" applyProtection="1">
      <alignment horizontal="center"/>
      <protection locked="0"/>
    </xf>
    <xf numFmtId="9" fontId="0" fillId="33" borderId="10" xfId="48" applyFont="1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9" fontId="0" fillId="33" borderId="10" xfId="0" applyNumberFormat="1" applyFont="1" applyFill="1" applyBorder="1" applyAlignment="1" applyProtection="1">
      <alignment horizontal="center"/>
      <protection locked="0"/>
    </xf>
    <xf numFmtId="9" fontId="0" fillId="33" borderId="14" xfId="0" applyNumberFormat="1" applyFont="1" applyFill="1" applyBorder="1" applyAlignment="1" applyProtection="1">
      <alignment horizontal="center"/>
      <protection locked="0"/>
    </xf>
    <xf numFmtId="167" fontId="0" fillId="33" borderId="10" xfId="0" applyNumberFormat="1" applyFont="1" applyFill="1" applyBorder="1" applyAlignment="1" applyProtection="1">
      <alignment horizontal="center"/>
      <protection locked="0"/>
    </xf>
    <xf numFmtId="9" fontId="0" fillId="33" borderId="13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/>
      <protection locked="0"/>
    </xf>
    <xf numFmtId="165" fontId="16" fillId="33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textRotation="105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5" fontId="15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2" fontId="1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right" textRotation="105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/>
      <protection/>
    </xf>
    <xf numFmtId="165" fontId="0" fillId="0" borderId="10" xfId="0" applyNumberFormat="1" applyFont="1" applyFill="1" applyBorder="1" applyAlignment="1" applyProtection="1">
      <alignment horizontal="center"/>
      <protection/>
    </xf>
    <xf numFmtId="165" fontId="18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/>
      <protection/>
    </xf>
    <xf numFmtId="165" fontId="19" fillId="0" borderId="13" xfId="0" applyNumberFormat="1" applyFont="1" applyFill="1" applyBorder="1" applyAlignment="1" applyProtection="1">
      <alignment horizontal="center"/>
      <protection/>
    </xf>
    <xf numFmtId="165" fontId="1" fillId="0" borderId="10" xfId="0" applyNumberFormat="1" applyFont="1" applyFill="1" applyBorder="1" applyAlignment="1" applyProtection="1">
      <alignment horizontal="center"/>
      <protection/>
    </xf>
    <xf numFmtId="165" fontId="19" fillId="0" borderId="10" xfId="0" applyNumberFormat="1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0" fontId="0" fillId="0" borderId="0" xfId="48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1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 horizontal="right"/>
      <protection/>
    </xf>
    <xf numFmtId="1" fontId="0" fillId="0" borderId="18" xfId="0" applyNumberFormat="1" applyFont="1" applyFill="1" applyBorder="1" applyAlignment="1" applyProtection="1">
      <alignment/>
      <protection/>
    </xf>
    <xf numFmtId="9" fontId="7" fillId="0" borderId="0" xfId="48" applyFont="1" applyFill="1" applyAlignment="1" applyProtection="1">
      <alignment horizontal="left"/>
      <protection/>
    </xf>
    <xf numFmtId="9" fontId="0" fillId="0" borderId="0" xfId="48" applyFont="1" applyFill="1" applyAlignment="1" applyProtection="1">
      <alignment horizontal="center"/>
      <protection/>
    </xf>
    <xf numFmtId="9" fontId="0" fillId="0" borderId="0" xfId="0" applyNumberFormat="1" applyFont="1" applyFill="1" applyAlignment="1" applyProtection="1">
      <alignment horizontal="center"/>
      <protection/>
    </xf>
    <xf numFmtId="167" fontId="0" fillId="0" borderId="0" xfId="48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165" fontId="3" fillId="0" borderId="0" xfId="48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9" fontId="0" fillId="0" borderId="0" xfId="48" applyFont="1" applyFill="1" applyAlignment="1" applyProtection="1">
      <alignment/>
      <protection/>
    </xf>
    <xf numFmtId="1" fontId="3" fillId="0" borderId="0" xfId="48" applyNumberFormat="1" applyFont="1" applyFill="1" applyAlignment="1" applyProtection="1">
      <alignment horizontal="center"/>
      <protection/>
    </xf>
    <xf numFmtId="167" fontId="3" fillId="0" borderId="0" xfId="0" applyNumberFormat="1" applyFont="1" applyFill="1" applyAlignment="1" applyProtection="1">
      <alignment horizontal="center"/>
      <protection/>
    </xf>
    <xf numFmtId="167" fontId="3" fillId="0" borderId="0" xfId="48" applyNumberFormat="1" applyFont="1" applyFill="1" applyAlignment="1" applyProtection="1">
      <alignment horizontal="center"/>
      <protection/>
    </xf>
    <xf numFmtId="165" fontId="0" fillId="0" borderId="0" xfId="48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167" fontId="0" fillId="0" borderId="0" xfId="48" applyNumberFormat="1" applyFont="1" applyFill="1" applyAlignment="1" applyProtection="1">
      <alignment horizontal="center"/>
      <protection/>
    </xf>
    <xf numFmtId="167" fontId="7" fillId="0" borderId="0" xfId="48" applyNumberFormat="1" applyFont="1" applyFill="1" applyAlignment="1" applyProtection="1">
      <alignment/>
      <protection/>
    </xf>
    <xf numFmtId="167" fontId="3" fillId="0" borderId="0" xfId="48" applyNumberFormat="1" applyFont="1" applyFill="1" applyAlignment="1" applyProtection="1">
      <alignment/>
      <protection/>
    </xf>
    <xf numFmtId="9" fontId="3" fillId="0" borderId="0" xfId="48" applyFont="1" applyFill="1" applyAlignment="1" applyProtection="1">
      <alignment/>
      <protection/>
    </xf>
    <xf numFmtId="9" fontId="7" fillId="0" borderId="0" xfId="48" applyFont="1" applyFill="1" applyAlignment="1" applyProtection="1">
      <alignment/>
      <protection/>
    </xf>
    <xf numFmtId="165" fontId="3" fillId="0" borderId="0" xfId="48" applyNumberFormat="1" applyFont="1" applyFill="1" applyAlignment="1" applyProtection="1">
      <alignment/>
      <protection/>
    </xf>
    <xf numFmtId="165" fontId="18" fillId="0" borderId="0" xfId="48" applyNumberFormat="1" applyFont="1" applyFill="1" applyAlignment="1" applyProtection="1">
      <alignment/>
      <protection/>
    </xf>
    <xf numFmtId="171" fontId="3" fillId="0" borderId="0" xfId="58" applyNumberFormat="1" applyFont="1" applyFill="1" applyAlignment="1" applyProtection="1">
      <alignment horizontal="center"/>
      <protection/>
    </xf>
    <xf numFmtId="9" fontId="18" fillId="0" borderId="0" xfId="48" applyFont="1" applyFill="1" applyAlignment="1" applyProtection="1">
      <alignment/>
      <protection/>
    </xf>
    <xf numFmtId="44" fontId="0" fillId="0" borderId="0" xfId="58" applyFont="1" applyFill="1" applyAlignment="1" applyProtection="1">
      <alignment horizontal="center"/>
      <protection/>
    </xf>
    <xf numFmtId="44" fontId="3" fillId="0" borderId="0" xfId="58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167" fontId="19" fillId="0" borderId="0" xfId="48" applyNumberFormat="1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44" fontId="3" fillId="0" borderId="0" xfId="58" applyFont="1" applyFill="1" applyAlignment="1" applyProtection="1">
      <alignment/>
      <protection/>
    </xf>
    <xf numFmtId="9" fontId="19" fillId="0" borderId="0" xfId="48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center"/>
      <protection/>
    </xf>
    <xf numFmtId="9" fontId="3" fillId="0" borderId="0" xfId="48" applyNumberFormat="1" applyFont="1" applyFill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/>
      <protection/>
    </xf>
    <xf numFmtId="1" fontId="20" fillId="0" borderId="0" xfId="0" applyNumberFormat="1" applyFont="1" applyFill="1" applyAlignment="1" applyProtection="1">
      <alignment horizontal="center"/>
      <protection/>
    </xf>
    <xf numFmtId="1" fontId="20" fillId="0" borderId="0" xfId="0" applyNumberFormat="1" applyFont="1" applyFill="1" applyAlignment="1" applyProtection="1">
      <alignment/>
      <protection/>
    </xf>
    <xf numFmtId="9" fontId="3" fillId="0" borderId="0" xfId="48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9" fontId="5" fillId="0" borderId="0" xfId="48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9" fontId="5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horizontal="left" indent="1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10" xfId="48" applyNumberFormat="1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165" fontId="0" fillId="34" borderId="10" xfId="0" applyNumberFormat="1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/>
      <protection/>
    </xf>
    <xf numFmtId="165" fontId="0" fillId="0" borderId="10" xfId="48" applyNumberFormat="1" applyFont="1" applyFill="1" applyBorder="1" applyAlignment="1" applyProtection="1">
      <alignment horizontal="center"/>
      <protection/>
    </xf>
    <xf numFmtId="1" fontId="0" fillId="34" borderId="14" xfId="0" applyNumberFormat="1" applyFont="1" applyFill="1" applyBorder="1" applyAlignment="1" applyProtection="1">
      <alignment horizontal="center"/>
      <protection/>
    </xf>
    <xf numFmtId="164" fontId="0" fillId="0" borderId="10" xfId="48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/>
      <protection/>
    </xf>
    <xf numFmtId="1" fontId="0" fillId="34" borderId="15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Alignment="1" applyProtection="1">
      <alignment/>
      <protection/>
    </xf>
    <xf numFmtId="2" fontId="19" fillId="0" borderId="0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left"/>
      <protection/>
    </xf>
    <xf numFmtId="165" fontId="0" fillId="34" borderId="0" xfId="0" applyNumberFormat="1" applyFont="1" applyFill="1" applyAlignment="1" applyProtection="1">
      <alignment horizontal="center"/>
      <protection/>
    </xf>
    <xf numFmtId="165" fontId="0" fillId="35" borderId="10" xfId="0" applyNumberFormat="1" applyFont="1" applyFill="1" applyBorder="1" applyAlignment="1" applyProtection="1">
      <alignment horizontal="center"/>
      <protection/>
    </xf>
    <xf numFmtId="1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2" fontId="0" fillId="34" borderId="0" xfId="0" applyNumberFormat="1" applyFont="1" applyFill="1" applyAlignment="1" applyProtection="1">
      <alignment horizontal="center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165" fontId="0" fillId="34" borderId="20" xfId="0" applyNumberFormat="1" applyFont="1" applyFill="1" applyBorder="1" applyAlignment="1" applyProtection="1">
      <alignment horizontal="center"/>
      <protection/>
    </xf>
    <xf numFmtId="165" fontId="31" fillId="35" borderId="10" xfId="0" applyNumberFormat="1" applyFont="1" applyFill="1" applyBorder="1" applyAlignment="1" applyProtection="1">
      <alignment horizontal="center"/>
      <protection/>
    </xf>
    <xf numFmtId="171" fontId="31" fillId="35" borderId="10" xfId="58" applyNumberFormat="1" applyFont="1" applyFill="1" applyBorder="1" applyAlignment="1" applyProtection="1">
      <alignment horizontal="center"/>
      <protection/>
    </xf>
    <xf numFmtId="165" fontId="31" fillId="35" borderId="14" xfId="0" applyNumberFormat="1" applyFont="1" applyFill="1" applyBorder="1" applyAlignment="1" applyProtection="1">
      <alignment horizontal="center"/>
      <protection/>
    </xf>
    <xf numFmtId="9" fontId="0" fillId="35" borderId="0" xfId="48" applyFont="1" applyFill="1" applyAlignment="1" applyProtection="1">
      <alignment horizontal="center"/>
      <protection/>
    </xf>
    <xf numFmtId="165" fontId="0" fillId="35" borderId="0" xfId="0" applyNumberFormat="1" applyFont="1" applyFill="1" applyAlignment="1" applyProtection="1">
      <alignment horizontal="center"/>
      <protection/>
    </xf>
    <xf numFmtId="44" fontId="0" fillId="35" borderId="0" xfId="58" applyFont="1" applyFill="1" applyAlignment="1" applyProtection="1">
      <alignment horizontal="center"/>
      <protection/>
    </xf>
    <xf numFmtId="165" fontId="0" fillId="0" borderId="21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Alignment="1" applyProtection="1">
      <alignment horizontal="center"/>
      <protection/>
    </xf>
    <xf numFmtId="167" fontId="0" fillId="35" borderId="0" xfId="48" applyNumberFormat="1" applyFont="1" applyFill="1" applyAlignment="1" applyProtection="1">
      <alignment horizontal="center"/>
      <protection/>
    </xf>
    <xf numFmtId="167" fontId="0" fillId="35" borderId="0" xfId="48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9" fontId="1" fillId="0" borderId="0" xfId="48" applyFont="1" applyFill="1" applyAlignment="1" applyProtection="1">
      <alignment/>
      <protection/>
    </xf>
    <xf numFmtId="165" fontId="16" fillId="0" borderId="21" xfId="0" applyNumberFormat="1" applyFont="1" applyFill="1" applyBorder="1" applyAlignment="1" applyProtection="1">
      <alignment horizontal="center"/>
      <protection/>
    </xf>
    <xf numFmtId="10" fontId="3" fillId="0" borderId="0" xfId="0" applyNumberFormat="1" applyFont="1" applyFill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65" fontId="16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46"/>
          <c:w val="0.61725"/>
          <c:h val="0.7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endagars'!$R$38</c:f>
              <c:strCache>
                <c:ptCount val="1"/>
                <c:pt idx="0">
                  <c:v>Cau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 endagars'!$Q$39:$Q$42</c:f>
              <c:numCache/>
            </c:numRef>
          </c:xVal>
          <c:yVal>
            <c:numRef>
              <c:f>' endagars'!$R$39:$R$42</c:f>
              <c:numCache/>
            </c:numRef>
          </c:yVal>
          <c:smooth val="0"/>
        </c:ser>
        <c:ser>
          <c:idx val="1"/>
          <c:order val="1"/>
          <c:tx>
            <c:strRef>
              <c:f>' endagars'!$S$38</c:f>
              <c:strCache>
                <c:ptCount val="1"/>
                <c:pt idx="0">
                  <c:v>Pu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 endagars'!$Q$39:$Q$42</c:f>
              <c:numCache/>
            </c:numRef>
          </c:xVal>
          <c:yVal>
            <c:numRef>
              <c:f>' endagars'!$S$39:$S$42</c:f>
              <c:numCache/>
            </c:numRef>
          </c:yVal>
          <c:smooth val="0"/>
        </c:ser>
        <c:ser>
          <c:idx val="2"/>
          <c:order val="2"/>
          <c:tx>
            <c:strRef>
              <c:f>' endagars'!$T$38</c:f>
              <c:strCache>
                <c:ptCount val="1"/>
                <c:pt idx="0">
                  <c:v>Caf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 endagars'!$Q$39:$Q$42</c:f>
              <c:numCache/>
            </c:numRef>
          </c:xVal>
          <c:yVal>
            <c:numRef>
              <c:f>' endagars'!$T$39:$T$42</c:f>
              <c:numCache/>
            </c:numRef>
          </c:yVal>
          <c:smooth val="0"/>
        </c:ser>
        <c:ser>
          <c:idx val="3"/>
          <c:order val="3"/>
          <c:tx>
            <c:strRef>
              <c:f>' endagars'!$U$38</c:f>
              <c:strCache>
                <c:ptCount val="1"/>
                <c:pt idx="0">
                  <c:v>Pf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 endagars'!$Q$39:$Q$42</c:f>
              <c:numCache/>
            </c:numRef>
          </c:xVal>
          <c:yVal>
            <c:numRef>
              <c:f>' endagars'!$U$39:$U$42</c:f>
              <c:numCache/>
            </c:numRef>
          </c:yVal>
          <c:smooth val="0"/>
        </c:ser>
        <c:axId val="66066834"/>
        <c:axId val="57730595"/>
      </c:scatterChart>
      <c:valAx>
        <c:axId val="66066834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 vikt, kg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 val="autoZero"/>
        <c:crossBetween val="midCat"/>
        <c:dispUnits/>
      </c:valAx>
      <c:valAx>
        <c:axId val="57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 P behov gram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68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0655"/>
          <c:w val="0.26925"/>
          <c:h val="0.6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36"/>
          <c:w val="0.7995"/>
          <c:h val="0.834"/>
        </c:manualLayout>
      </c:layout>
      <c:scatterChart>
        <c:scatterStyle val="lineMarker"/>
        <c:varyColors val="0"/>
        <c:ser>
          <c:idx val="2"/>
          <c:order val="0"/>
          <c:tx>
            <c:strRef>
              <c:f>' endagars'!$AA$37</c:f>
              <c:strCache>
                <c:ptCount val="1"/>
                <c:pt idx="0">
                  <c:v>NDF%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 endagars'!$X$38:$X$42</c:f>
              <c:numCache/>
            </c:numRef>
          </c:xVal>
          <c:yVal>
            <c:numRef>
              <c:f>' endagars'!$AA$38:$AA$42</c:f>
              <c:numCache/>
            </c:numRef>
          </c:yVal>
          <c:smooth val="0"/>
        </c:ser>
        <c:ser>
          <c:idx val="0"/>
          <c:order val="1"/>
          <c:tx>
            <c:strRef>
              <c:f>' endagars'!$Y$37</c:f>
              <c:strCache>
                <c:ptCount val="1"/>
                <c:pt idx="0">
                  <c:v>tsintag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 endagars'!$X$38:$X$42</c:f>
              <c:numCache/>
            </c:numRef>
          </c:xVal>
          <c:yVal>
            <c:numRef>
              <c:f>' endagars'!$Y$38:$Y$42</c:f>
              <c:numCache/>
            </c:numRef>
          </c:yVal>
          <c:smooth val="0"/>
        </c:ser>
        <c:ser>
          <c:idx val="1"/>
          <c:order val="2"/>
          <c:tx>
            <c:strRef>
              <c:f>' endagars'!$Z$37</c:f>
              <c:strCache>
                <c:ptCount val="1"/>
                <c:pt idx="0">
                  <c:v>råprotein%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 endagars'!$X$38:$X$42</c:f>
              <c:numCache/>
            </c:numRef>
          </c:xVal>
          <c:yVal>
            <c:numRef>
              <c:f>' endagars'!$Z$38:$Z$42</c:f>
              <c:numCache/>
            </c:numRef>
          </c:yVal>
          <c:smooth val="0"/>
        </c:ser>
        <c:axId val="49813308"/>
        <c:axId val="45666589"/>
      </c:scatterChart>
      <c:valAx>
        <c:axId val="49813308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Avkastningsnivå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6589"/>
        <c:crosses val="autoZero"/>
        <c:crossBetween val="midCat"/>
        <c:dispUnits/>
      </c:valAx>
      <c:valAx>
        <c:axId val="45666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14075"/>
          <c:w val="0.21575"/>
          <c:h val="0.4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029"/>
          <c:w val="0.59975"/>
          <c:h val="0.8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 endagars'!$P$59</c:f>
              <c:strCache>
                <c:ptCount val="1"/>
                <c:pt idx="0">
                  <c:v>EnergiDr8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 endagars'!$O$60:$O$63</c:f>
              <c:numCache/>
            </c:numRef>
          </c:xVal>
          <c:yVal>
            <c:numRef>
              <c:f>' endagars'!$P$60:$P$63</c:f>
              <c:numCache/>
            </c:numRef>
          </c:yVal>
          <c:smooth val="0"/>
        </c:ser>
        <c:ser>
          <c:idx val="1"/>
          <c:order val="1"/>
          <c:tx>
            <c:strRef>
              <c:f>' endagars'!$Q$59</c:f>
              <c:strCache>
                <c:ptCount val="1"/>
                <c:pt idx="0">
                  <c:v>EnergiDr9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 endagars'!$O$60:$O$63</c:f>
              <c:numCache/>
            </c:numRef>
          </c:xVal>
          <c:yVal>
            <c:numRef>
              <c:f>' endagars'!$Q$60:$Q$63</c:f>
              <c:numCache/>
            </c:numRef>
          </c:yVal>
          <c:smooth val="0"/>
        </c:ser>
        <c:ser>
          <c:idx val="2"/>
          <c:order val="2"/>
          <c:tx>
            <c:strRef>
              <c:f>' endagars'!$R$59</c:f>
              <c:strCache>
                <c:ptCount val="1"/>
                <c:pt idx="0">
                  <c:v>AAT Dr8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 endagars'!$O$60:$O$63</c:f>
              <c:numCache/>
            </c:numRef>
          </c:xVal>
          <c:yVal>
            <c:numRef>
              <c:f>' endagars'!$R$60:$R$63</c:f>
              <c:numCache/>
            </c:numRef>
          </c:yVal>
          <c:smooth val="0"/>
        </c:ser>
        <c:ser>
          <c:idx val="3"/>
          <c:order val="3"/>
          <c:tx>
            <c:strRef>
              <c:f>' endagars'!$S$59</c:f>
              <c:strCache>
                <c:ptCount val="1"/>
                <c:pt idx="0">
                  <c:v>AAT Dr9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 endagars'!$O$60:$O$63</c:f>
              <c:numCache/>
            </c:numRef>
          </c:xVal>
          <c:yVal>
            <c:numRef>
              <c:f>' endagars'!$S$60:$S$63</c:f>
              <c:numCache/>
            </c:numRef>
          </c:yVal>
          <c:smooth val="0"/>
        </c:ser>
        <c:axId val="8346118"/>
        <c:axId val="8006199"/>
      </c:scatterChart>
      <c:valAx>
        <c:axId val="8346118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Levande vikt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 val="autoZero"/>
        <c:crossBetween val="midCat"/>
        <c:dispUnits/>
      </c:valAx>
      <c:valAx>
        <c:axId val="8006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Behov av energi o AAT under dräktigheten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75"/>
          <c:y val="0.20975"/>
          <c:w val="0.28425"/>
          <c:h val="0.4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42</xdr:row>
      <xdr:rowOff>47625</xdr:rowOff>
    </xdr:from>
    <xdr:to>
      <xdr:col>21</xdr:col>
      <xdr:colOff>38100</xdr:colOff>
      <xdr:row>55</xdr:row>
      <xdr:rowOff>133350</xdr:rowOff>
    </xdr:to>
    <xdr:graphicFrame>
      <xdr:nvGraphicFramePr>
        <xdr:cNvPr id="1" name="Chart 2"/>
        <xdr:cNvGraphicFramePr/>
      </xdr:nvGraphicFramePr>
      <xdr:xfrm>
        <a:off x="8620125" y="9363075"/>
        <a:ext cx="38004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76200</xdr:colOff>
      <xdr:row>42</xdr:row>
      <xdr:rowOff>28575</xdr:rowOff>
    </xdr:from>
    <xdr:to>
      <xdr:col>29</xdr:col>
      <xdr:colOff>276225</xdr:colOff>
      <xdr:row>55</xdr:row>
      <xdr:rowOff>142875</xdr:rowOff>
    </xdr:to>
    <xdr:graphicFrame>
      <xdr:nvGraphicFramePr>
        <xdr:cNvPr id="2" name="Chart 4"/>
        <xdr:cNvGraphicFramePr/>
      </xdr:nvGraphicFramePr>
      <xdr:xfrm>
        <a:off x="12458700" y="9344025"/>
        <a:ext cx="44577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352425</xdr:colOff>
      <xdr:row>56</xdr:row>
      <xdr:rowOff>19050</xdr:rowOff>
    </xdr:from>
    <xdr:to>
      <xdr:col>29</xdr:col>
      <xdr:colOff>285750</xdr:colOff>
      <xdr:row>71</xdr:row>
      <xdr:rowOff>133350</xdr:rowOff>
    </xdr:to>
    <xdr:graphicFrame>
      <xdr:nvGraphicFramePr>
        <xdr:cNvPr id="3" name="Chart 25"/>
        <xdr:cNvGraphicFramePr/>
      </xdr:nvGraphicFramePr>
      <xdr:xfrm>
        <a:off x="11610975" y="12001500"/>
        <a:ext cx="53149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workbookViewId="0" topLeftCell="A1">
      <selection activeCell="I8" sqref="I8"/>
    </sheetView>
  </sheetViews>
  <sheetFormatPr defaultColWidth="9.140625" defaultRowHeight="12.75"/>
  <cols>
    <col min="1" max="1" width="14.8515625" style="2" customWidth="1"/>
    <col min="2" max="2" width="10.140625" style="2" customWidth="1"/>
    <col min="3" max="3" width="9.8515625" style="2" customWidth="1"/>
    <col min="4" max="4" width="11.00390625" style="2" customWidth="1"/>
    <col min="5" max="5" width="9.421875" style="2" customWidth="1"/>
    <col min="6" max="6" width="9.00390625" style="2" customWidth="1"/>
    <col min="7" max="7" width="8.57421875" style="2" customWidth="1"/>
    <col min="8" max="8" width="8.140625" style="2" customWidth="1"/>
    <col min="9" max="9" width="8.00390625" style="2" customWidth="1"/>
    <col min="10" max="10" width="8.421875" style="2" customWidth="1"/>
    <col min="11" max="11" width="7.421875" style="2" customWidth="1"/>
    <col min="12" max="12" width="7.7109375" style="2" customWidth="1"/>
    <col min="13" max="13" width="6.00390625" style="2" customWidth="1"/>
    <col min="14" max="14" width="7.8515625" style="2" customWidth="1"/>
    <col min="15" max="15" width="6.00390625" style="2" customWidth="1"/>
    <col min="16" max="16" width="10.140625" style="2" customWidth="1"/>
    <col min="17" max="17" width="8.7109375" style="2" customWidth="1"/>
    <col min="18" max="18" width="9.140625" style="2" customWidth="1"/>
    <col min="19" max="24" width="8.421875" style="2" customWidth="1"/>
    <col min="25" max="25" width="6.7109375" style="2" customWidth="1"/>
    <col min="26" max="26" width="7.140625" style="2" customWidth="1"/>
    <col min="27" max="27" width="10.421875" style="2" customWidth="1"/>
    <col min="28" max="28" width="7.7109375" style="2" customWidth="1"/>
    <col min="29" max="30" width="6.57421875" style="2" customWidth="1"/>
    <col min="31" max="16384" width="9.140625" style="2" customWidth="1"/>
  </cols>
  <sheetData>
    <row r="1" spans="1:32" ht="26.25">
      <c r="A1" s="30" t="s">
        <v>171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 t="s">
        <v>160</v>
      </c>
      <c r="M1" s="33"/>
      <c r="N1" s="34"/>
      <c r="O1" s="35"/>
      <c r="P1" s="35"/>
      <c r="Q1" s="35"/>
      <c r="R1" s="35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45"/>
      <c r="AE1" s="145"/>
      <c r="AF1" s="3"/>
    </row>
    <row r="2" spans="1:32" ht="15">
      <c r="A2" s="201" t="s">
        <v>181</v>
      </c>
      <c r="B2" s="201"/>
      <c r="C2" s="201"/>
      <c r="D2" s="201"/>
      <c r="G2" s="37"/>
      <c r="H2" s="37"/>
      <c r="I2" s="31"/>
      <c r="J2" s="31"/>
      <c r="K2" s="31"/>
      <c r="L2" s="38"/>
      <c r="M2" s="39"/>
      <c r="N2" s="31"/>
      <c r="O2" s="31"/>
      <c r="P2" s="146" t="s">
        <v>103</v>
      </c>
      <c r="Q2" s="86"/>
      <c r="R2" s="86"/>
      <c r="S2" s="147"/>
      <c r="T2" s="147"/>
      <c r="U2" s="147"/>
      <c r="V2" s="147"/>
      <c r="W2" s="31"/>
      <c r="X2" s="31"/>
      <c r="Y2" s="31"/>
      <c r="Z2" s="31"/>
      <c r="AA2" s="31"/>
      <c r="AB2" s="31"/>
      <c r="AC2" s="31"/>
      <c r="AD2" s="145"/>
      <c r="AE2" s="145"/>
      <c r="AF2" s="3"/>
    </row>
    <row r="3" spans="1:32" ht="15.75">
      <c r="A3" s="31" t="s">
        <v>10</v>
      </c>
      <c r="B3" s="6" t="s">
        <v>179</v>
      </c>
      <c r="C3" s="31"/>
      <c r="D3" s="31" t="s">
        <v>11</v>
      </c>
      <c r="E3" s="31"/>
      <c r="F3" s="4">
        <v>39163</v>
      </c>
      <c r="G3" s="37"/>
      <c r="H3" s="37"/>
      <c r="I3" s="40"/>
      <c r="J3" s="41"/>
      <c r="K3" s="42"/>
      <c r="L3" s="43" t="s">
        <v>134</v>
      </c>
      <c r="M3" s="40"/>
      <c r="N3" s="42"/>
      <c r="O3" s="42"/>
      <c r="P3" s="146"/>
      <c r="Q3" s="71" t="s">
        <v>4</v>
      </c>
      <c r="R3" s="71" t="s">
        <v>43</v>
      </c>
      <c r="S3" s="71" t="s">
        <v>68</v>
      </c>
      <c r="T3" s="71" t="s">
        <v>104</v>
      </c>
      <c r="U3" s="71" t="s">
        <v>105</v>
      </c>
      <c r="V3" s="71" t="s">
        <v>106</v>
      </c>
      <c r="W3" s="71" t="s">
        <v>86</v>
      </c>
      <c r="X3" s="39"/>
      <c r="Y3" s="39"/>
      <c r="Z3" s="31"/>
      <c r="AA3" s="31"/>
      <c r="AB3" s="31"/>
      <c r="AC3" s="31"/>
      <c r="AD3" s="145"/>
      <c r="AE3" s="145"/>
      <c r="AF3" s="3"/>
    </row>
    <row r="4" spans="1:32" ht="15">
      <c r="A4" s="31" t="s">
        <v>13</v>
      </c>
      <c r="B4" s="6" t="s">
        <v>179</v>
      </c>
      <c r="C4" s="36"/>
      <c r="D4" s="31" t="s">
        <v>12</v>
      </c>
      <c r="E4" s="39"/>
      <c r="F4" s="7">
        <v>0</v>
      </c>
      <c r="G4" s="37"/>
      <c r="H4" s="37"/>
      <c r="I4" s="40"/>
      <c r="J4" s="44"/>
      <c r="K4" s="45"/>
      <c r="L4" s="46"/>
      <c r="M4" s="45"/>
      <c r="N4" s="45"/>
      <c r="O4" s="45"/>
      <c r="P4" s="146" t="s">
        <v>51</v>
      </c>
      <c r="Q4" s="148"/>
      <c r="R4" s="148">
        <f>B9</f>
        <v>600.5</v>
      </c>
      <c r="S4" s="149">
        <f>($R4^0.75)*0.517</f>
        <v>62.715559620337736</v>
      </c>
      <c r="T4" s="149">
        <f>($R4^0.75)*3.25</f>
        <v>394.24674809690066</v>
      </c>
      <c r="U4" s="149">
        <f>0.03*R4+13</f>
        <v>31.015</v>
      </c>
      <c r="V4" s="150">
        <f>0.02*R4+7</f>
        <v>19.009999999999998</v>
      </c>
      <c r="W4" s="151"/>
      <c r="X4" s="39"/>
      <c r="Y4" s="39"/>
      <c r="Z4" s="31"/>
      <c r="AA4" s="31"/>
      <c r="AB4" s="31"/>
      <c r="AC4" s="31"/>
      <c r="AD4" s="145"/>
      <c r="AE4" s="145"/>
      <c r="AF4" s="3"/>
    </row>
    <row r="5" spans="1:32" ht="19.5">
      <c r="A5" s="52"/>
      <c r="B5" s="198"/>
      <c r="C5" s="31"/>
      <c r="D5" s="31"/>
      <c r="E5" s="31"/>
      <c r="F5" s="31"/>
      <c r="G5" s="37"/>
      <c r="H5" s="37"/>
      <c r="I5" s="40"/>
      <c r="J5" s="47"/>
      <c r="K5" s="48"/>
      <c r="L5" s="46"/>
      <c r="M5" s="48"/>
      <c r="N5" s="48"/>
      <c r="O5" s="48"/>
      <c r="P5" s="152" t="s">
        <v>123</v>
      </c>
      <c r="Q5" s="148">
        <f>E8+F8</f>
        <v>10</v>
      </c>
      <c r="R5" s="148"/>
      <c r="S5" s="149">
        <f>Q5*S4</f>
        <v>627.1555962033774</v>
      </c>
      <c r="T5" s="149">
        <f>T4*(Q5)</f>
        <v>3942.467480969007</v>
      </c>
      <c r="U5" s="153">
        <f>U4*Q5</f>
        <v>310.15</v>
      </c>
      <c r="V5" s="150">
        <f>V4*Q5</f>
        <v>190.09999999999997</v>
      </c>
      <c r="W5" s="153"/>
      <c r="X5" s="39"/>
      <c r="Y5" s="39"/>
      <c r="Z5" s="39"/>
      <c r="AA5" s="39"/>
      <c r="AB5" s="39"/>
      <c r="AC5" s="31"/>
      <c r="AD5" s="145"/>
      <c r="AE5" s="145"/>
      <c r="AF5" s="3"/>
    </row>
    <row r="6" spans="1:32" ht="18.75">
      <c r="A6" s="53" t="s">
        <v>75</v>
      </c>
      <c r="B6" s="54"/>
      <c r="C6" s="56" t="s">
        <v>46</v>
      </c>
      <c r="D6" s="59"/>
      <c r="E6" s="60" t="s">
        <v>61</v>
      </c>
      <c r="F6" s="61"/>
      <c r="G6" s="37"/>
      <c r="H6" s="31"/>
      <c r="I6" s="40"/>
      <c r="J6" s="49"/>
      <c r="K6" s="37"/>
      <c r="L6" s="50"/>
      <c r="M6" s="44"/>
      <c r="N6" s="37"/>
      <c r="O6" s="37"/>
      <c r="P6" s="154" t="s">
        <v>124</v>
      </c>
      <c r="Q6" s="155">
        <f>C8+D8</f>
        <v>30</v>
      </c>
      <c r="R6" s="31"/>
      <c r="S6" s="149"/>
      <c r="T6" s="156"/>
      <c r="U6" s="153">
        <f>Q6*U4</f>
        <v>930.45</v>
      </c>
      <c r="V6" s="157">
        <f>V4*Q6</f>
        <v>570.3</v>
      </c>
      <c r="W6" s="158"/>
      <c r="X6" s="39"/>
      <c r="Y6" s="31"/>
      <c r="Z6" s="39"/>
      <c r="AA6" s="39"/>
      <c r="AB6" s="39"/>
      <c r="AC6" s="31"/>
      <c r="AD6" s="145"/>
      <c r="AE6" s="145"/>
      <c r="AF6" s="3"/>
    </row>
    <row r="7" spans="1:32" ht="18.75">
      <c r="A7" s="39"/>
      <c r="B7" s="55" t="s">
        <v>14</v>
      </c>
      <c r="C7" s="57" t="s">
        <v>47</v>
      </c>
      <c r="D7" s="57" t="s">
        <v>15</v>
      </c>
      <c r="E7" s="57" t="s">
        <v>48</v>
      </c>
      <c r="F7" s="57" t="s">
        <v>31</v>
      </c>
      <c r="G7" s="37"/>
      <c r="H7" s="37" t="s">
        <v>147</v>
      </c>
      <c r="I7" s="40"/>
      <c r="J7" s="51"/>
      <c r="K7" s="37"/>
      <c r="L7" s="44"/>
      <c r="M7" s="44"/>
      <c r="N7" s="37"/>
      <c r="O7" s="37"/>
      <c r="P7" s="146" t="s">
        <v>125</v>
      </c>
      <c r="Q7" s="148"/>
      <c r="R7" s="159">
        <f>E14</f>
        <v>34.43644585987262</v>
      </c>
      <c r="S7" s="149">
        <f>(5*R7+S4)*1.11-13.6</f>
        <v>247.1365457008679</v>
      </c>
      <c r="T7" s="149">
        <f>S7*7.6</f>
        <v>1878.237747326596</v>
      </c>
      <c r="U7" s="149">
        <f>2.6*R7</f>
        <v>89.53475923566882</v>
      </c>
      <c r="V7" s="150">
        <f>1.6*R7</f>
        <v>55.098313375796195</v>
      </c>
      <c r="W7" s="149">
        <f>R29*20</f>
        <v>16083.199999999999</v>
      </c>
      <c r="X7" s="39"/>
      <c r="Y7" s="31"/>
      <c r="Z7" s="39"/>
      <c r="AA7" s="39"/>
      <c r="AB7" s="39"/>
      <c r="AC7" s="31"/>
      <c r="AD7" s="145"/>
      <c r="AE7" s="145"/>
      <c r="AF7" s="3"/>
    </row>
    <row r="8" spans="1:32" ht="19.5" thickBot="1">
      <c r="A8" s="62" t="s">
        <v>4</v>
      </c>
      <c r="B8" s="9">
        <v>40</v>
      </c>
      <c r="C8" s="58">
        <f>B8-D8-E8-F8</f>
        <v>20</v>
      </c>
      <c r="D8" s="7">
        <v>10</v>
      </c>
      <c r="E8" s="7">
        <v>4</v>
      </c>
      <c r="F8" s="7">
        <v>6</v>
      </c>
      <c r="G8" s="37"/>
      <c r="H8" s="10">
        <v>5</v>
      </c>
      <c r="I8" s="31"/>
      <c r="J8" s="31"/>
      <c r="K8" s="31"/>
      <c r="L8" s="31"/>
      <c r="M8" s="31"/>
      <c r="N8" s="31"/>
      <c r="O8" s="37"/>
      <c r="P8" s="152" t="s">
        <v>39</v>
      </c>
      <c r="Q8" s="148">
        <f>C8+D8</f>
        <v>30</v>
      </c>
      <c r="R8" s="148"/>
      <c r="S8" s="149">
        <f>Q8*S7</f>
        <v>7414.096371026038</v>
      </c>
      <c r="T8" s="149">
        <f>T7*Q8</f>
        <v>56347.13241979788</v>
      </c>
      <c r="U8" s="149">
        <f>Q8*U7</f>
        <v>2686.0427770700644</v>
      </c>
      <c r="V8" s="150">
        <f>V7*Q8</f>
        <v>1652.9494012738858</v>
      </c>
      <c r="W8" s="160">
        <f>W7*Q8</f>
        <v>482495.99999999994</v>
      </c>
      <c r="X8" s="39"/>
      <c r="Y8" s="39"/>
      <c r="Z8" s="39"/>
      <c r="AA8" s="39"/>
      <c r="AB8" s="39"/>
      <c r="AC8" s="31"/>
      <c r="AD8" s="145"/>
      <c r="AE8" s="145"/>
      <c r="AF8" s="3"/>
    </row>
    <row r="9" spans="1:32" ht="18.75">
      <c r="A9" s="62" t="s">
        <v>16</v>
      </c>
      <c r="B9" s="65">
        <f>(C8*C9+D8*D9+E8*E9+F8*F9)/(C8+D8+E8+F8)</f>
        <v>600.5</v>
      </c>
      <c r="C9" s="9">
        <v>600</v>
      </c>
      <c r="D9" s="7">
        <v>580</v>
      </c>
      <c r="E9" s="7">
        <v>580</v>
      </c>
      <c r="F9" s="7">
        <v>650</v>
      </c>
      <c r="G9" s="37"/>
      <c r="H9" s="37"/>
      <c r="I9" s="31"/>
      <c r="J9" s="31"/>
      <c r="K9" s="31"/>
      <c r="L9" s="31"/>
      <c r="M9" s="31"/>
      <c r="N9" s="31"/>
      <c r="O9" s="37"/>
      <c r="P9" s="146" t="s">
        <v>38</v>
      </c>
      <c r="Q9" s="148"/>
      <c r="R9" s="161"/>
      <c r="S9" s="150">
        <v>8</v>
      </c>
      <c r="T9" s="149">
        <v>52</v>
      </c>
      <c r="U9" s="150">
        <v>5</v>
      </c>
      <c r="V9" s="150">
        <v>3</v>
      </c>
      <c r="W9" s="162"/>
      <c r="X9" s="39"/>
      <c r="Y9" s="163"/>
      <c r="Z9" s="39"/>
      <c r="AA9" s="39"/>
      <c r="AB9" s="39"/>
      <c r="AC9" s="31"/>
      <c r="AD9" s="145"/>
      <c r="AE9" s="145"/>
      <c r="AF9" s="3"/>
    </row>
    <row r="10" spans="1:32" ht="15">
      <c r="A10" s="39"/>
      <c r="B10" s="31"/>
      <c r="C10" s="31"/>
      <c r="D10" s="31"/>
      <c r="E10" s="37"/>
      <c r="F10" s="37"/>
      <c r="G10" s="37"/>
      <c r="H10" s="80"/>
      <c r="I10" s="82"/>
      <c r="J10" s="42"/>
      <c r="K10" s="37"/>
      <c r="L10" s="44"/>
      <c r="M10" s="31"/>
      <c r="N10" s="31"/>
      <c r="O10" s="37"/>
      <c r="P10" s="152" t="s">
        <v>40</v>
      </c>
      <c r="Q10" s="148">
        <f>E8+D8</f>
        <v>14</v>
      </c>
      <c r="R10" s="148"/>
      <c r="S10" s="150">
        <f>S9*Q10</f>
        <v>112</v>
      </c>
      <c r="T10" s="149">
        <f>T9*Q10</f>
        <v>728</v>
      </c>
      <c r="U10" s="150">
        <f>U9*Q10</f>
        <v>70</v>
      </c>
      <c r="V10" s="150">
        <f>V9*Q10</f>
        <v>42</v>
      </c>
      <c r="W10" s="164"/>
      <c r="X10" s="39"/>
      <c r="Y10" s="163"/>
      <c r="Z10" s="39"/>
      <c r="AA10" s="39"/>
      <c r="AB10" s="39"/>
      <c r="AC10" s="31"/>
      <c r="AD10" s="145"/>
      <c r="AE10" s="145"/>
      <c r="AF10" s="3"/>
    </row>
    <row r="11" spans="1:32" ht="15.75" thickBot="1">
      <c r="A11" s="31"/>
      <c r="B11" s="66" t="s">
        <v>74</v>
      </c>
      <c r="C11" s="73" t="s">
        <v>72</v>
      </c>
      <c r="D11" s="73" t="s">
        <v>73</v>
      </c>
      <c r="E11" s="53" t="s">
        <v>5</v>
      </c>
      <c r="F11" s="78" t="s">
        <v>158</v>
      </c>
      <c r="G11" s="79"/>
      <c r="H11" s="79"/>
      <c r="I11" s="42"/>
      <c r="J11" s="42"/>
      <c r="K11" s="42"/>
      <c r="L11" s="42"/>
      <c r="M11" s="42"/>
      <c r="N11" s="83"/>
      <c r="O11" s="74"/>
      <c r="P11" s="146" t="s">
        <v>41</v>
      </c>
      <c r="Q11" s="148"/>
      <c r="R11" s="148">
        <f>IF(E8+F8=0,B9,(E8*E9+F8*F9)/(E8+F8))</f>
        <v>622</v>
      </c>
      <c r="S11" s="150">
        <f>0.04*R11-1</f>
        <v>23.88</v>
      </c>
      <c r="T11" s="149">
        <f>0.238*R11+23.6</f>
        <v>171.636</v>
      </c>
      <c r="U11" s="150">
        <f>0.03*R11</f>
        <v>18.66</v>
      </c>
      <c r="V11" s="150">
        <f>0.02*R11+1</f>
        <v>13.44</v>
      </c>
      <c r="W11" s="165">
        <f>R29*80</f>
        <v>64332.799999999996</v>
      </c>
      <c r="X11" s="39"/>
      <c r="Y11" s="163"/>
      <c r="Z11" s="39"/>
      <c r="AA11" s="39"/>
      <c r="AB11" s="39"/>
      <c r="AC11" s="31"/>
      <c r="AD11" s="145"/>
      <c r="AE11" s="145"/>
      <c r="AF11" s="3"/>
    </row>
    <row r="12" spans="1:32" ht="16.5" thickBot="1">
      <c r="A12" s="63" t="s">
        <v>62</v>
      </c>
      <c r="B12" s="12">
        <v>990</v>
      </c>
      <c r="C12" s="13">
        <v>4.4</v>
      </c>
      <c r="D12" s="14">
        <v>3.34</v>
      </c>
      <c r="E12" s="75">
        <f>((383*C12+242*D12+783.2)/3140)*B12</f>
        <v>1033.0933757961784</v>
      </c>
      <c r="F12" s="15">
        <v>2.5</v>
      </c>
      <c r="G12" s="48"/>
      <c r="H12" s="81"/>
      <c r="I12" s="84"/>
      <c r="J12" s="42"/>
      <c r="K12" s="42"/>
      <c r="L12" s="42"/>
      <c r="M12" s="42"/>
      <c r="N12" s="80"/>
      <c r="O12" s="74"/>
      <c r="P12" s="152" t="s">
        <v>42</v>
      </c>
      <c r="Q12" s="148">
        <f>E8+F8</f>
        <v>10</v>
      </c>
      <c r="R12" s="148"/>
      <c r="S12" s="150">
        <f>S11*$Q12</f>
        <v>238.79999999999998</v>
      </c>
      <c r="T12" s="150">
        <f>T11*$Q12</f>
        <v>1716.36</v>
      </c>
      <c r="U12" s="153">
        <f>U11*Q12</f>
        <v>186.6</v>
      </c>
      <c r="V12" s="150">
        <f>V11*Q12</f>
        <v>134.4</v>
      </c>
      <c r="W12" s="149">
        <f>W11*Q12</f>
        <v>643328</v>
      </c>
      <c r="X12" s="39"/>
      <c r="Y12" s="163"/>
      <c r="Z12" s="39"/>
      <c r="AA12" s="39"/>
      <c r="AB12" s="39"/>
      <c r="AC12" s="31"/>
      <c r="AD12" s="145"/>
      <c r="AE12" s="145"/>
      <c r="AF12" s="3"/>
    </row>
    <row r="13" spans="1:32" ht="15">
      <c r="A13" s="39" t="s">
        <v>111</v>
      </c>
      <c r="B13" s="67">
        <f>B12/B8</f>
        <v>24.75</v>
      </c>
      <c r="C13" s="71">
        <f>C12</f>
        <v>4.4</v>
      </c>
      <c r="D13" s="67">
        <f>D12</f>
        <v>3.34</v>
      </c>
      <c r="E13" s="76">
        <f>((383*C13+242*D13+783.2)/3140)*B13</f>
        <v>25.82733439490446</v>
      </c>
      <c r="F13" s="39"/>
      <c r="G13" s="39"/>
      <c r="H13" s="74"/>
      <c r="I13" s="85"/>
      <c r="J13" s="86"/>
      <c r="K13" s="86"/>
      <c r="L13" s="86"/>
      <c r="M13" s="86"/>
      <c r="N13" s="48"/>
      <c r="O13" s="74"/>
      <c r="P13" s="146" t="s">
        <v>44</v>
      </c>
      <c r="Q13" s="148"/>
      <c r="R13" s="148"/>
      <c r="S13" s="166">
        <f>S5+S8+S10+S12</f>
        <v>8392.051967229414</v>
      </c>
      <c r="T13" s="166">
        <f>T5+T8+T10+T12</f>
        <v>62733.95990076689</v>
      </c>
      <c r="U13" s="166">
        <f>U12+U10+U8+U5+U6</f>
        <v>4183.242777070064</v>
      </c>
      <c r="V13" s="166">
        <f>V12+V10+V8+V5+V6</f>
        <v>2589.7494012738857</v>
      </c>
      <c r="W13" s="167">
        <f>W12+W8</f>
        <v>1125824</v>
      </c>
      <c r="X13" s="39"/>
      <c r="Y13" s="44"/>
      <c r="Z13" s="39"/>
      <c r="AA13" s="39"/>
      <c r="AB13" s="39"/>
      <c r="AC13" s="31"/>
      <c r="AD13" s="145"/>
      <c r="AE13" s="145"/>
      <c r="AF13" s="3"/>
    </row>
    <row r="14" spans="1:32" ht="15.75">
      <c r="A14" s="63" t="s">
        <v>63</v>
      </c>
      <c r="B14" s="68">
        <f>B12/(C8+D8)</f>
        <v>33</v>
      </c>
      <c r="C14" s="72">
        <f>C12</f>
        <v>4.4</v>
      </c>
      <c r="D14" s="67">
        <f>D12</f>
        <v>3.34</v>
      </c>
      <c r="E14" s="77">
        <f>((383*C14+242*D14+783.2)/3140)*B14</f>
        <v>34.43644585987262</v>
      </c>
      <c r="F14" s="39"/>
      <c r="G14" s="39"/>
      <c r="H14" s="74"/>
      <c r="I14" s="87"/>
      <c r="J14" s="81"/>
      <c r="K14" s="81"/>
      <c r="L14" s="88"/>
      <c r="M14" s="88"/>
      <c r="N14" s="89"/>
      <c r="O14" s="74"/>
      <c r="P14" s="39"/>
      <c r="Q14" s="168"/>
      <c r="R14" s="168"/>
      <c r="S14" s="168"/>
      <c r="T14" s="168"/>
      <c r="U14" s="168"/>
      <c r="V14" s="168"/>
      <c r="W14" s="39"/>
      <c r="X14" s="39"/>
      <c r="Y14" s="163"/>
      <c r="Z14" s="39"/>
      <c r="AA14" s="39"/>
      <c r="AB14" s="39"/>
      <c r="AC14" s="31"/>
      <c r="AD14" s="145"/>
      <c r="AE14" s="145"/>
      <c r="AF14" s="3"/>
    </row>
    <row r="15" spans="1:32" ht="18">
      <c r="A15" s="39"/>
      <c r="B15" s="39"/>
      <c r="C15" s="39"/>
      <c r="D15" s="39"/>
      <c r="E15" s="39"/>
      <c r="F15" s="39"/>
      <c r="G15" s="39"/>
      <c r="H15" s="74"/>
      <c r="I15" s="90"/>
      <c r="J15" s="91"/>
      <c r="K15" s="74"/>
      <c r="L15" s="74"/>
      <c r="M15" s="74"/>
      <c r="N15" s="74"/>
      <c r="O15" s="74"/>
      <c r="P15" s="169" t="s">
        <v>101</v>
      </c>
      <c r="Q15" s="74"/>
      <c r="R15" s="7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1"/>
      <c r="AD15" s="145"/>
      <c r="AE15" s="145"/>
      <c r="AF15" s="3"/>
    </row>
    <row r="16" spans="1:34" ht="15">
      <c r="A16" s="39"/>
      <c r="B16" s="69" t="s">
        <v>87</v>
      </c>
      <c r="C16" s="39"/>
      <c r="D16" s="74" t="s">
        <v>132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154" t="s">
        <v>129</v>
      </c>
      <c r="Q16" s="31"/>
      <c r="R16" s="170" t="s">
        <v>102</v>
      </c>
      <c r="S16" s="74"/>
      <c r="T16" s="74"/>
      <c r="U16" s="74"/>
      <c r="V16" s="39"/>
      <c r="W16" s="39"/>
      <c r="X16" s="39"/>
      <c r="Y16" s="39"/>
      <c r="Z16" s="39"/>
      <c r="AA16" s="39"/>
      <c r="AB16" s="39"/>
      <c r="AC16" s="39"/>
      <c r="AD16" s="39"/>
      <c r="AE16" s="31"/>
      <c r="AF16" s="3"/>
      <c r="AG16" s="3"/>
      <c r="AH16" s="3"/>
    </row>
    <row r="17" spans="1:37" ht="15">
      <c r="A17" s="64" t="s">
        <v>6</v>
      </c>
      <c r="B17" s="70" t="s">
        <v>17</v>
      </c>
      <c r="C17" s="70" t="s">
        <v>3</v>
      </c>
      <c r="D17" s="70" t="s">
        <v>23</v>
      </c>
      <c r="E17" s="70" t="s">
        <v>0</v>
      </c>
      <c r="F17" s="70" t="s">
        <v>1</v>
      </c>
      <c r="G17" s="70" t="s">
        <v>2</v>
      </c>
      <c r="H17" s="70" t="s">
        <v>64</v>
      </c>
      <c r="I17" s="70" t="s">
        <v>65</v>
      </c>
      <c r="J17" s="70" t="s">
        <v>7</v>
      </c>
      <c r="K17" s="70" t="s">
        <v>8</v>
      </c>
      <c r="L17" s="70" t="s">
        <v>37</v>
      </c>
      <c r="M17" s="92" t="s">
        <v>86</v>
      </c>
      <c r="N17" s="92" t="s">
        <v>138</v>
      </c>
      <c r="O17" s="92" t="s">
        <v>108</v>
      </c>
      <c r="P17" s="171" t="s">
        <v>130</v>
      </c>
      <c r="Q17" s="172" t="s">
        <v>131</v>
      </c>
      <c r="R17" s="173" t="s">
        <v>80</v>
      </c>
      <c r="S17" s="70" t="s">
        <v>45</v>
      </c>
      <c r="T17" s="70" t="s">
        <v>68</v>
      </c>
      <c r="U17" s="70" t="s">
        <v>1</v>
      </c>
      <c r="V17" s="70" t="s">
        <v>2</v>
      </c>
      <c r="W17" s="70" t="s">
        <v>64</v>
      </c>
      <c r="X17" s="70" t="s">
        <v>65</v>
      </c>
      <c r="Y17" s="70" t="s">
        <v>7</v>
      </c>
      <c r="Z17" s="70" t="s">
        <v>8</v>
      </c>
      <c r="AA17" s="174" t="s">
        <v>154</v>
      </c>
      <c r="AB17" s="133" t="s">
        <v>79</v>
      </c>
      <c r="AC17" s="171" t="s">
        <v>155</v>
      </c>
      <c r="AD17" s="39" t="s">
        <v>108</v>
      </c>
      <c r="AE17" s="39"/>
      <c r="AF17" s="5"/>
      <c r="AG17" s="5"/>
      <c r="AI17" s="3"/>
      <c r="AJ17" s="3"/>
      <c r="AK17" s="3"/>
    </row>
    <row r="18" spans="1:37" ht="18">
      <c r="A18" s="16" t="s">
        <v>180</v>
      </c>
      <c r="B18" s="1">
        <v>400</v>
      </c>
      <c r="C18" s="17">
        <v>1</v>
      </c>
      <c r="D18" s="18">
        <v>1</v>
      </c>
      <c r="E18" s="14">
        <v>11</v>
      </c>
      <c r="F18" s="13">
        <v>71</v>
      </c>
      <c r="G18" s="13">
        <v>43</v>
      </c>
      <c r="H18" s="13">
        <v>166</v>
      </c>
      <c r="I18" s="13">
        <v>526</v>
      </c>
      <c r="J18" s="14">
        <v>6.2</v>
      </c>
      <c r="K18" s="14">
        <v>2.7</v>
      </c>
      <c r="L18" s="19">
        <v>100</v>
      </c>
      <c r="M18" s="13">
        <v>15</v>
      </c>
      <c r="N18" s="20">
        <v>0</v>
      </c>
      <c r="O18" s="20">
        <v>0</v>
      </c>
      <c r="P18" s="12">
        <v>1</v>
      </c>
      <c r="Q18" s="175">
        <f aca="true" t="shared" si="0" ref="Q18:Q28">P18*B18/$P$29*($B$30+$B$31)</f>
        <v>0</v>
      </c>
      <c r="R18" s="176">
        <f aca="true" t="shared" si="1" ref="R18:R28">(B18-Q18)*C18</f>
        <v>400</v>
      </c>
      <c r="S18" s="176">
        <f aca="true" t="shared" si="2" ref="S18:S28">R18*D18</f>
        <v>400</v>
      </c>
      <c r="T18" s="176">
        <f aca="true" t="shared" si="3" ref="T18:T28">E18*R18</f>
        <v>4400</v>
      </c>
      <c r="U18" s="176">
        <f aca="true" t="shared" si="4" ref="U18:U28">$R18*F18</f>
        <v>28400</v>
      </c>
      <c r="V18" s="176">
        <f aca="true" t="shared" si="5" ref="V18:V28">$R18*G18</f>
        <v>17200</v>
      </c>
      <c r="W18" s="176">
        <f aca="true" t="shared" si="6" ref="W18:W28">$R18*H18</f>
        <v>66400</v>
      </c>
      <c r="X18" s="176">
        <f aca="true" t="shared" si="7" ref="X18:X28">$R18*I18</f>
        <v>210400</v>
      </c>
      <c r="Y18" s="176">
        <f aca="true" t="shared" si="8" ref="Y18:Y28">$R18*J18</f>
        <v>2480</v>
      </c>
      <c r="Z18" s="176">
        <f aca="true" t="shared" si="9" ref="Z18:Z28">$R18*K18</f>
        <v>1080</v>
      </c>
      <c r="AA18" s="177">
        <f aca="true" t="shared" si="10" ref="AA18:AA28">L18*B18/100</f>
        <v>400</v>
      </c>
      <c r="AB18" s="177">
        <f aca="true" t="shared" si="11" ref="AB18:AB28">R18*M18</f>
        <v>6000</v>
      </c>
      <c r="AC18" s="177">
        <f>N18*W18</f>
        <v>0</v>
      </c>
      <c r="AD18" s="178">
        <f>O18*R18</f>
        <v>0</v>
      </c>
      <c r="AE18" s="39"/>
      <c r="AF18" s="5"/>
      <c r="AG18" s="5"/>
      <c r="AI18" s="3"/>
      <c r="AJ18" s="3"/>
      <c r="AK18" s="3"/>
    </row>
    <row r="19" spans="1:37" ht="18">
      <c r="A19" s="16" t="s">
        <v>174</v>
      </c>
      <c r="B19" s="1">
        <v>0</v>
      </c>
      <c r="C19" s="17">
        <v>0.426</v>
      </c>
      <c r="D19" s="18">
        <v>1</v>
      </c>
      <c r="E19" s="14">
        <v>6.6</v>
      </c>
      <c r="F19" s="13">
        <v>45</v>
      </c>
      <c r="G19" s="13">
        <v>-60</v>
      </c>
      <c r="H19" s="13">
        <v>69</v>
      </c>
      <c r="I19" s="13">
        <v>748</v>
      </c>
      <c r="J19" s="14">
        <v>7.5</v>
      </c>
      <c r="K19" s="14">
        <v>2.3</v>
      </c>
      <c r="L19" s="19">
        <v>46</v>
      </c>
      <c r="M19" s="13">
        <v>0</v>
      </c>
      <c r="N19" s="21">
        <v>0</v>
      </c>
      <c r="O19" s="21">
        <v>0</v>
      </c>
      <c r="P19" s="12">
        <v>1</v>
      </c>
      <c r="Q19" s="175">
        <f t="shared" si="0"/>
        <v>0</v>
      </c>
      <c r="R19" s="176">
        <f t="shared" si="1"/>
        <v>0</v>
      </c>
      <c r="S19" s="176">
        <f t="shared" si="2"/>
        <v>0</v>
      </c>
      <c r="T19" s="176">
        <f t="shared" si="3"/>
        <v>0</v>
      </c>
      <c r="U19" s="176">
        <f t="shared" si="4"/>
        <v>0</v>
      </c>
      <c r="V19" s="176">
        <f t="shared" si="5"/>
        <v>0</v>
      </c>
      <c r="W19" s="176">
        <f t="shared" si="6"/>
        <v>0</v>
      </c>
      <c r="X19" s="176">
        <f t="shared" si="7"/>
        <v>0</v>
      </c>
      <c r="Y19" s="176">
        <f t="shared" si="8"/>
        <v>0</v>
      </c>
      <c r="Z19" s="176">
        <f t="shared" si="9"/>
        <v>0</v>
      </c>
      <c r="AA19" s="177">
        <f t="shared" si="10"/>
        <v>0</v>
      </c>
      <c r="AB19" s="177">
        <f t="shared" si="11"/>
        <v>0</v>
      </c>
      <c r="AC19" s="177">
        <f aca="true" t="shared" si="12" ref="AC19:AC28">N19*W19</f>
        <v>0</v>
      </c>
      <c r="AD19" s="178">
        <f aca="true" t="shared" si="13" ref="AD19:AD28">O19*R19</f>
        <v>0</v>
      </c>
      <c r="AE19" s="39"/>
      <c r="AF19" s="5"/>
      <c r="AG19" s="5"/>
      <c r="AI19" s="3"/>
      <c r="AJ19" s="3"/>
      <c r="AK19" s="3"/>
    </row>
    <row r="20" spans="1:31" s="3" customFormat="1" ht="18">
      <c r="A20" s="16" t="s">
        <v>57</v>
      </c>
      <c r="B20" s="1">
        <v>0</v>
      </c>
      <c r="C20" s="17">
        <v>0.84</v>
      </c>
      <c r="D20" s="18">
        <v>1</v>
      </c>
      <c r="E20" s="14">
        <v>10</v>
      </c>
      <c r="F20" s="13">
        <v>69</v>
      </c>
      <c r="G20" s="13">
        <v>-10</v>
      </c>
      <c r="H20" s="13">
        <v>90</v>
      </c>
      <c r="I20" s="13">
        <v>650</v>
      </c>
      <c r="J20" s="14">
        <v>5</v>
      </c>
      <c r="K20" s="14">
        <v>3.6</v>
      </c>
      <c r="L20" s="19">
        <v>128</v>
      </c>
      <c r="M20" s="13">
        <v>0</v>
      </c>
      <c r="N20" s="21">
        <v>0</v>
      </c>
      <c r="O20" s="21">
        <v>0</v>
      </c>
      <c r="P20" s="12">
        <v>1</v>
      </c>
      <c r="Q20" s="175">
        <f t="shared" si="0"/>
        <v>0</v>
      </c>
      <c r="R20" s="176">
        <f t="shared" si="1"/>
        <v>0</v>
      </c>
      <c r="S20" s="176">
        <f t="shared" si="2"/>
        <v>0</v>
      </c>
      <c r="T20" s="176">
        <f t="shared" si="3"/>
        <v>0</v>
      </c>
      <c r="U20" s="176">
        <f t="shared" si="4"/>
        <v>0</v>
      </c>
      <c r="V20" s="176">
        <f t="shared" si="5"/>
        <v>0</v>
      </c>
      <c r="W20" s="176">
        <f t="shared" si="6"/>
        <v>0</v>
      </c>
      <c r="X20" s="176">
        <f t="shared" si="7"/>
        <v>0</v>
      </c>
      <c r="Y20" s="176">
        <f t="shared" si="8"/>
        <v>0</v>
      </c>
      <c r="Z20" s="176">
        <f t="shared" si="9"/>
        <v>0</v>
      </c>
      <c r="AA20" s="177">
        <f t="shared" si="10"/>
        <v>0</v>
      </c>
      <c r="AB20" s="177">
        <f t="shared" si="11"/>
        <v>0</v>
      </c>
      <c r="AC20" s="177">
        <f t="shared" si="12"/>
        <v>0</v>
      </c>
      <c r="AD20" s="178">
        <f t="shared" si="13"/>
        <v>0</v>
      </c>
      <c r="AE20" s="145"/>
    </row>
    <row r="21" spans="1:31" s="3" customFormat="1" ht="18">
      <c r="A21" s="16" t="s">
        <v>177</v>
      </c>
      <c r="B21" s="1">
        <v>179</v>
      </c>
      <c r="C21" s="17">
        <v>0.88</v>
      </c>
      <c r="D21" s="18">
        <v>0</v>
      </c>
      <c r="E21" s="14">
        <v>14.6</v>
      </c>
      <c r="F21" s="13">
        <v>159</v>
      </c>
      <c r="G21" s="13">
        <v>30</v>
      </c>
      <c r="H21" s="13">
        <v>273</v>
      </c>
      <c r="I21" s="13">
        <v>270</v>
      </c>
      <c r="J21" s="14">
        <v>10.2</v>
      </c>
      <c r="K21" s="14">
        <v>5.7</v>
      </c>
      <c r="L21" s="19">
        <v>200</v>
      </c>
      <c r="M21" s="13">
        <v>40</v>
      </c>
      <c r="N21" s="21">
        <v>1</v>
      </c>
      <c r="O21" s="21">
        <v>0</v>
      </c>
      <c r="P21" s="12">
        <v>1</v>
      </c>
      <c r="Q21" s="175">
        <f t="shared" si="0"/>
        <v>0</v>
      </c>
      <c r="R21" s="176">
        <f t="shared" si="1"/>
        <v>157.52</v>
      </c>
      <c r="S21" s="176">
        <f t="shared" si="2"/>
        <v>0</v>
      </c>
      <c r="T21" s="176">
        <f t="shared" si="3"/>
        <v>2299.792</v>
      </c>
      <c r="U21" s="176">
        <f t="shared" si="4"/>
        <v>25045.68</v>
      </c>
      <c r="V21" s="176">
        <f t="shared" si="5"/>
        <v>4725.6</v>
      </c>
      <c r="W21" s="176">
        <f t="shared" si="6"/>
        <v>43002.96000000001</v>
      </c>
      <c r="X21" s="176">
        <f t="shared" si="7"/>
        <v>42530.4</v>
      </c>
      <c r="Y21" s="176">
        <f t="shared" si="8"/>
        <v>1606.704</v>
      </c>
      <c r="Z21" s="176">
        <f t="shared" si="9"/>
        <v>897.864</v>
      </c>
      <c r="AA21" s="177">
        <f t="shared" si="10"/>
        <v>358</v>
      </c>
      <c r="AB21" s="177">
        <f t="shared" si="11"/>
        <v>6300.8</v>
      </c>
      <c r="AC21" s="177">
        <f t="shared" si="12"/>
        <v>43002.96000000001</v>
      </c>
      <c r="AD21" s="178">
        <f t="shared" si="13"/>
        <v>0</v>
      </c>
      <c r="AE21" s="145"/>
    </row>
    <row r="22" spans="1:31" s="3" customFormat="1" ht="18">
      <c r="A22" s="16" t="s">
        <v>176</v>
      </c>
      <c r="B22" s="1">
        <v>276</v>
      </c>
      <c r="C22" s="17">
        <v>0.88</v>
      </c>
      <c r="D22" s="18">
        <v>0</v>
      </c>
      <c r="E22" s="14">
        <v>13.2</v>
      </c>
      <c r="F22" s="13">
        <v>91</v>
      </c>
      <c r="G22" s="13">
        <v>-33.4</v>
      </c>
      <c r="H22" s="13">
        <v>128</v>
      </c>
      <c r="I22" s="13">
        <v>232</v>
      </c>
      <c r="J22" s="14">
        <v>2.28</v>
      </c>
      <c r="K22" s="14">
        <v>3.18</v>
      </c>
      <c r="L22" s="19">
        <v>128</v>
      </c>
      <c r="M22" s="13">
        <v>0</v>
      </c>
      <c r="N22" s="21">
        <v>0</v>
      </c>
      <c r="O22" s="21">
        <v>0</v>
      </c>
      <c r="P22" s="12">
        <v>1</v>
      </c>
      <c r="Q22" s="175">
        <f t="shared" si="0"/>
        <v>0</v>
      </c>
      <c r="R22" s="176">
        <f t="shared" si="1"/>
        <v>242.88</v>
      </c>
      <c r="S22" s="176">
        <f t="shared" si="2"/>
        <v>0</v>
      </c>
      <c r="T22" s="176">
        <f t="shared" si="3"/>
        <v>3206.0159999999996</v>
      </c>
      <c r="U22" s="176">
        <f t="shared" si="4"/>
        <v>22102.079999999998</v>
      </c>
      <c r="V22" s="176">
        <f t="shared" si="5"/>
        <v>-8112.191999999999</v>
      </c>
      <c r="W22" s="176">
        <f t="shared" si="6"/>
        <v>31088.64</v>
      </c>
      <c r="X22" s="176">
        <f t="shared" si="7"/>
        <v>56348.159999999996</v>
      </c>
      <c r="Y22" s="176">
        <f t="shared" si="8"/>
        <v>553.7664</v>
      </c>
      <c r="Z22" s="176">
        <f t="shared" si="9"/>
        <v>772.3584000000001</v>
      </c>
      <c r="AA22" s="177">
        <f t="shared" si="10"/>
        <v>353.28</v>
      </c>
      <c r="AB22" s="177">
        <f t="shared" si="11"/>
        <v>0</v>
      </c>
      <c r="AC22" s="177">
        <f t="shared" si="12"/>
        <v>0</v>
      </c>
      <c r="AD22" s="178">
        <f t="shared" si="13"/>
        <v>0</v>
      </c>
      <c r="AE22" s="145"/>
    </row>
    <row r="23" spans="1:31" s="3" customFormat="1" ht="18">
      <c r="A23" s="16" t="s">
        <v>58</v>
      </c>
      <c r="B23" s="1"/>
      <c r="C23" s="17">
        <v>0.89</v>
      </c>
      <c r="D23" s="18">
        <v>0</v>
      </c>
      <c r="E23" s="14">
        <v>14</v>
      </c>
      <c r="F23" s="13">
        <v>157</v>
      </c>
      <c r="G23" s="13">
        <v>45</v>
      </c>
      <c r="H23" s="13">
        <v>287</v>
      </c>
      <c r="I23" s="13">
        <v>281</v>
      </c>
      <c r="J23" s="14">
        <v>11.2</v>
      </c>
      <c r="K23" s="14">
        <v>5.6</v>
      </c>
      <c r="L23" s="19">
        <v>231</v>
      </c>
      <c r="M23" s="13">
        <v>67</v>
      </c>
      <c r="N23" s="21">
        <v>1</v>
      </c>
      <c r="O23" s="21">
        <v>0</v>
      </c>
      <c r="P23" s="12">
        <v>1</v>
      </c>
      <c r="Q23" s="175">
        <f t="shared" si="0"/>
        <v>0</v>
      </c>
      <c r="R23" s="176">
        <f t="shared" si="1"/>
        <v>0</v>
      </c>
      <c r="S23" s="176">
        <f t="shared" si="2"/>
        <v>0</v>
      </c>
      <c r="T23" s="176">
        <f t="shared" si="3"/>
        <v>0</v>
      </c>
      <c r="U23" s="176">
        <f t="shared" si="4"/>
        <v>0</v>
      </c>
      <c r="V23" s="176">
        <f t="shared" si="5"/>
        <v>0</v>
      </c>
      <c r="W23" s="176">
        <f t="shared" si="6"/>
        <v>0</v>
      </c>
      <c r="X23" s="176">
        <f t="shared" si="7"/>
        <v>0</v>
      </c>
      <c r="Y23" s="176">
        <f t="shared" si="8"/>
        <v>0</v>
      </c>
      <c r="Z23" s="176">
        <f t="shared" si="9"/>
        <v>0</v>
      </c>
      <c r="AA23" s="177">
        <f t="shared" si="10"/>
        <v>0</v>
      </c>
      <c r="AB23" s="177">
        <f t="shared" si="11"/>
        <v>0</v>
      </c>
      <c r="AC23" s="177">
        <f t="shared" si="12"/>
        <v>0</v>
      </c>
      <c r="AD23" s="178">
        <f t="shared" si="13"/>
        <v>0</v>
      </c>
      <c r="AE23" s="145"/>
    </row>
    <row r="24" spans="1:37" ht="18">
      <c r="A24" s="16" t="s">
        <v>110</v>
      </c>
      <c r="B24" s="1"/>
      <c r="C24" s="22">
        <v>0.88</v>
      </c>
      <c r="D24" s="18">
        <v>0</v>
      </c>
      <c r="E24" s="14">
        <v>13.6</v>
      </c>
      <c r="F24" s="13">
        <v>142</v>
      </c>
      <c r="G24" s="13">
        <v>-6</v>
      </c>
      <c r="H24" s="13">
        <v>207</v>
      </c>
      <c r="I24" s="13">
        <v>193</v>
      </c>
      <c r="J24" s="14">
        <v>8</v>
      </c>
      <c r="K24" s="14">
        <v>4.5</v>
      </c>
      <c r="L24" s="19">
        <v>229</v>
      </c>
      <c r="M24" s="13">
        <v>91</v>
      </c>
      <c r="N24" s="21">
        <v>1</v>
      </c>
      <c r="O24" s="21">
        <v>0</v>
      </c>
      <c r="P24" s="12">
        <v>1</v>
      </c>
      <c r="Q24" s="175">
        <f t="shared" si="0"/>
        <v>0</v>
      </c>
      <c r="R24" s="176">
        <f t="shared" si="1"/>
        <v>0</v>
      </c>
      <c r="S24" s="176">
        <f t="shared" si="2"/>
        <v>0</v>
      </c>
      <c r="T24" s="176">
        <f t="shared" si="3"/>
        <v>0</v>
      </c>
      <c r="U24" s="176">
        <f t="shared" si="4"/>
        <v>0</v>
      </c>
      <c r="V24" s="176">
        <f t="shared" si="5"/>
        <v>0</v>
      </c>
      <c r="W24" s="176">
        <f t="shared" si="6"/>
        <v>0</v>
      </c>
      <c r="X24" s="176">
        <f t="shared" si="7"/>
        <v>0</v>
      </c>
      <c r="Y24" s="176">
        <f t="shared" si="8"/>
        <v>0</v>
      </c>
      <c r="Z24" s="176">
        <f t="shared" si="9"/>
        <v>0</v>
      </c>
      <c r="AA24" s="177">
        <f t="shared" si="10"/>
        <v>0</v>
      </c>
      <c r="AB24" s="177">
        <f t="shared" si="11"/>
        <v>0</v>
      </c>
      <c r="AC24" s="177">
        <f t="shared" si="12"/>
        <v>0</v>
      </c>
      <c r="AD24" s="178">
        <f t="shared" si="13"/>
        <v>0</v>
      </c>
      <c r="AE24" s="145"/>
      <c r="AF24" s="3"/>
      <c r="AG24" s="3"/>
      <c r="AH24" s="3"/>
      <c r="AI24" s="3"/>
      <c r="AJ24" s="3"/>
      <c r="AK24" s="3"/>
    </row>
    <row r="25" spans="1:37" ht="18">
      <c r="A25" s="16" t="s">
        <v>59</v>
      </c>
      <c r="B25" s="1">
        <v>0</v>
      </c>
      <c r="C25" s="17">
        <v>1</v>
      </c>
      <c r="D25" s="18">
        <v>1</v>
      </c>
      <c r="E25" s="14">
        <v>12.8</v>
      </c>
      <c r="F25" s="13">
        <v>100</v>
      </c>
      <c r="G25" s="13">
        <v>-68</v>
      </c>
      <c r="H25" s="13">
        <v>90</v>
      </c>
      <c r="I25" s="13">
        <v>300</v>
      </c>
      <c r="J25" s="14">
        <v>8.8</v>
      </c>
      <c r="K25" s="14">
        <v>0.8</v>
      </c>
      <c r="L25" s="19">
        <v>95</v>
      </c>
      <c r="M25" s="13">
        <v>0</v>
      </c>
      <c r="N25" s="21">
        <v>1</v>
      </c>
      <c r="O25" s="21">
        <v>0</v>
      </c>
      <c r="P25" s="12">
        <v>1</v>
      </c>
      <c r="Q25" s="175">
        <f t="shared" si="0"/>
        <v>0</v>
      </c>
      <c r="R25" s="176">
        <f t="shared" si="1"/>
        <v>0</v>
      </c>
      <c r="S25" s="176">
        <f t="shared" si="2"/>
        <v>0</v>
      </c>
      <c r="T25" s="176">
        <f t="shared" si="3"/>
        <v>0</v>
      </c>
      <c r="U25" s="176">
        <f t="shared" si="4"/>
        <v>0</v>
      </c>
      <c r="V25" s="176">
        <f t="shared" si="5"/>
        <v>0</v>
      </c>
      <c r="W25" s="176">
        <f t="shared" si="6"/>
        <v>0</v>
      </c>
      <c r="X25" s="176">
        <f t="shared" si="7"/>
        <v>0</v>
      </c>
      <c r="Y25" s="176">
        <f t="shared" si="8"/>
        <v>0</v>
      </c>
      <c r="Z25" s="176">
        <f t="shared" si="9"/>
        <v>0</v>
      </c>
      <c r="AA25" s="177">
        <f t="shared" si="10"/>
        <v>0</v>
      </c>
      <c r="AB25" s="177">
        <f t="shared" si="11"/>
        <v>0</v>
      </c>
      <c r="AC25" s="177">
        <f t="shared" si="12"/>
        <v>0</v>
      </c>
      <c r="AD25" s="178">
        <f t="shared" si="13"/>
        <v>0</v>
      </c>
      <c r="AE25" s="145"/>
      <c r="AF25" s="3"/>
      <c r="AG25" s="3"/>
      <c r="AH25" s="3"/>
      <c r="AI25" s="3"/>
      <c r="AJ25" s="3"/>
      <c r="AK25" s="3"/>
    </row>
    <row r="26" spans="1:37" ht="18">
      <c r="A26" s="16" t="s">
        <v>178</v>
      </c>
      <c r="B26" s="1">
        <v>4</v>
      </c>
      <c r="C26" s="22">
        <v>0.94</v>
      </c>
      <c r="D26" s="18">
        <v>0</v>
      </c>
      <c r="E26" s="14">
        <v>4.7</v>
      </c>
      <c r="F26" s="13">
        <v>27</v>
      </c>
      <c r="G26" s="13">
        <v>7</v>
      </c>
      <c r="H26" s="13">
        <v>50</v>
      </c>
      <c r="I26" s="13">
        <v>0</v>
      </c>
      <c r="J26" s="14">
        <v>97</v>
      </c>
      <c r="K26" s="14">
        <v>47</v>
      </c>
      <c r="L26" s="19">
        <v>700</v>
      </c>
      <c r="M26" s="13">
        <v>3500</v>
      </c>
      <c r="N26" s="21">
        <v>1</v>
      </c>
      <c r="O26" s="21">
        <v>0</v>
      </c>
      <c r="P26" s="12">
        <v>1</v>
      </c>
      <c r="Q26" s="179">
        <f t="shared" si="0"/>
        <v>0</v>
      </c>
      <c r="R26" s="180">
        <f t="shared" si="1"/>
        <v>3.76</v>
      </c>
      <c r="S26" s="176">
        <f t="shared" si="2"/>
        <v>0</v>
      </c>
      <c r="T26" s="176">
        <f t="shared" si="3"/>
        <v>17.672</v>
      </c>
      <c r="U26" s="176">
        <f t="shared" si="4"/>
        <v>101.52</v>
      </c>
      <c r="V26" s="176">
        <f t="shared" si="5"/>
        <v>26.32</v>
      </c>
      <c r="W26" s="176">
        <f t="shared" si="6"/>
        <v>188</v>
      </c>
      <c r="X26" s="176">
        <f t="shared" si="7"/>
        <v>0</v>
      </c>
      <c r="Y26" s="176">
        <f t="shared" si="8"/>
        <v>364.71999999999997</v>
      </c>
      <c r="Z26" s="176">
        <f t="shared" si="9"/>
        <v>176.72</v>
      </c>
      <c r="AA26" s="177">
        <f t="shared" si="10"/>
        <v>28</v>
      </c>
      <c r="AB26" s="177">
        <f t="shared" si="11"/>
        <v>13160</v>
      </c>
      <c r="AC26" s="177">
        <f t="shared" si="12"/>
        <v>188</v>
      </c>
      <c r="AD26" s="178">
        <f t="shared" si="13"/>
        <v>0</v>
      </c>
      <c r="AE26" s="145"/>
      <c r="AF26" s="3"/>
      <c r="AG26" s="3"/>
      <c r="AH26" s="3"/>
      <c r="AI26" s="3"/>
      <c r="AJ26" s="3"/>
      <c r="AK26" s="3"/>
    </row>
    <row r="27" spans="1:37" ht="18">
      <c r="A27" s="16" t="s">
        <v>60</v>
      </c>
      <c r="B27" s="1"/>
      <c r="C27" s="22">
        <v>1</v>
      </c>
      <c r="D27" s="18">
        <v>1</v>
      </c>
      <c r="E27" s="14">
        <v>10.7</v>
      </c>
      <c r="F27" s="13">
        <v>71</v>
      </c>
      <c r="G27" s="13">
        <v>-3</v>
      </c>
      <c r="H27" s="13">
        <v>120</v>
      </c>
      <c r="I27" s="13">
        <v>560</v>
      </c>
      <c r="J27" s="14">
        <v>7.1</v>
      </c>
      <c r="K27" s="14">
        <v>3.5</v>
      </c>
      <c r="L27" s="19">
        <v>120</v>
      </c>
      <c r="M27" s="13">
        <v>0</v>
      </c>
      <c r="N27" s="21">
        <v>0</v>
      </c>
      <c r="O27" s="21">
        <v>0</v>
      </c>
      <c r="P27" s="12">
        <v>1</v>
      </c>
      <c r="Q27" s="175">
        <f t="shared" si="0"/>
        <v>0</v>
      </c>
      <c r="R27" s="176">
        <f t="shared" si="1"/>
        <v>0</v>
      </c>
      <c r="S27" s="176">
        <f t="shared" si="2"/>
        <v>0</v>
      </c>
      <c r="T27" s="176">
        <f t="shared" si="3"/>
        <v>0</v>
      </c>
      <c r="U27" s="176">
        <f t="shared" si="4"/>
        <v>0</v>
      </c>
      <c r="V27" s="176">
        <f t="shared" si="5"/>
        <v>0</v>
      </c>
      <c r="W27" s="176">
        <f t="shared" si="6"/>
        <v>0</v>
      </c>
      <c r="X27" s="176">
        <f t="shared" si="7"/>
        <v>0</v>
      </c>
      <c r="Y27" s="176">
        <f t="shared" si="8"/>
        <v>0</v>
      </c>
      <c r="Z27" s="176">
        <f t="shared" si="9"/>
        <v>0</v>
      </c>
      <c r="AA27" s="177">
        <f t="shared" si="10"/>
        <v>0</v>
      </c>
      <c r="AB27" s="177">
        <f t="shared" si="11"/>
        <v>0</v>
      </c>
      <c r="AC27" s="177">
        <f t="shared" si="12"/>
        <v>0</v>
      </c>
      <c r="AD27" s="178">
        <f t="shared" si="13"/>
        <v>0</v>
      </c>
      <c r="AE27" s="145"/>
      <c r="AF27" s="3"/>
      <c r="AG27" s="3"/>
      <c r="AH27" s="3"/>
      <c r="AI27" s="3"/>
      <c r="AJ27" s="3"/>
      <c r="AK27" s="3"/>
    </row>
    <row r="28" spans="1:37" ht="18">
      <c r="A28" s="16" t="s">
        <v>153</v>
      </c>
      <c r="B28" s="1"/>
      <c r="C28" s="13"/>
      <c r="D28" s="18"/>
      <c r="E28" s="14"/>
      <c r="F28" s="13"/>
      <c r="G28" s="20"/>
      <c r="H28" s="20"/>
      <c r="I28" s="20"/>
      <c r="J28" s="14"/>
      <c r="K28" s="14"/>
      <c r="L28" s="23"/>
      <c r="M28" s="13"/>
      <c r="N28" s="21"/>
      <c r="O28" s="21"/>
      <c r="P28" s="24"/>
      <c r="Q28" s="175">
        <f t="shared" si="0"/>
        <v>0</v>
      </c>
      <c r="R28" s="176">
        <f t="shared" si="1"/>
        <v>0</v>
      </c>
      <c r="S28" s="176">
        <f t="shared" si="2"/>
        <v>0</v>
      </c>
      <c r="T28" s="176">
        <f t="shared" si="3"/>
        <v>0</v>
      </c>
      <c r="U28" s="176">
        <f t="shared" si="4"/>
        <v>0</v>
      </c>
      <c r="V28" s="176">
        <f t="shared" si="5"/>
        <v>0</v>
      </c>
      <c r="W28" s="176">
        <f t="shared" si="6"/>
        <v>0</v>
      </c>
      <c r="X28" s="176">
        <f t="shared" si="7"/>
        <v>0</v>
      </c>
      <c r="Y28" s="176">
        <f t="shared" si="8"/>
        <v>0</v>
      </c>
      <c r="Z28" s="176">
        <f t="shared" si="9"/>
        <v>0</v>
      </c>
      <c r="AA28" s="177">
        <f t="shared" si="10"/>
        <v>0</v>
      </c>
      <c r="AB28" s="177">
        <f t="shared" si="11"/>
        <v>0</v>
      </c>
      <c r="AC28" s="177">
        <f t="shared" si="12"/>
        <v>0</v>
      </c>
      <c r="AD28" s="178">
        <f t="shared" si="13"/>
        <v>0</v>
      </c>
      <c r="AE28" s="181"/>
      <c r="AF28" s="25"/>
      <c r="AG28" s="25"/>
      <c r="AH28" s="3"/>
      <c r="AI28" s="3"/>
      <c r="AJ28" s="3"/>
      <c r="AK28" s="3"/>
    </row>
    <row r="29" spans="1:37" ht="18.75" thickBot="1">
      <c r="A29" s="26" t="s">
        <v>133</v>
      </c>
      <c r="B29" s="196">
        <f>SUM(B18:B27)</f>
        <v>859</v>
      </c>
      <c r="C29" s="13"/>
      <c r="D29" s="18"/>
      <c r="E29" s="14"/>
      <c r="F29" s="13"/>
      <c r="G29" s="20"/>
      <c r="H29" s="20"/>
      <c r="I29" s="20"/>
      <c r="J29" s="14"/>
      <c r="K29" s="14"/>
      <c r="L29" s="23"/>
      <c r="M29" s="27"/>
      <c r="N29" s="27"/>
      <c r="O29" s="27"/>
      <c r="P29" s="189">
        <f>SUMPRODUCT(B18:B28,P18:P28)+0.000001</f>
        <v>859.000001</v>
      </c>
      <c r="Q29" s="182">
        <f>SUM(Q18:Q27)</f>
        <v>0</v>
      </c>
      <c r="R29" s="183">
        <f aca="true" t="shared" si="14" ref="R29:AD29">SUM(R18:R28)</f>
        <v>804.16</v>
      </c>
      <c r="S29" s="183">
        <f t="shared" si="14"/>
        <v>400</v>
      </c>
      <c r="T29" s="183">
        <f t="shared" si="14"/>
        <v>9923.48</v>
      </c>
      <c r="U29" s="183">
        <f t="shared" si="14"/>
        <v>75649.28</v>
      </c>
      <c r="V29" s="183">
        <f t="shared" si="14"/>
        <v>13839.728</v>
      </c>
      <c r="W29" s="183">
        <f t="shared" si="14"/>
        <v>140679.6</v>
      </c>
      <c r="X29" s="183">
        <f t="shared" si="14"/>
        <v>309278.56</v>
      </c>
      <c r="Y29" s="183">
        <f t="shared" si="14"/>
        <v>5005.1904</v>
      </c>
      <c r="Z29" s="183">
        <f t="shared" si="14"/>
        <v>2926.9424</v>
      </c>
      <c r="AA29" s="184">
        <f t="shared" si="14"/>
        <v>1139.28</v>
      </c>
      <c r="AB29" s="183">
        <f t="shared" si="14"/>
        <v>25460.8</v>
      </c>
      <c r="AC29" s="185">
        <f t="shared" si="14"/>
        <v>43190.96000000001</v>
      </c>
      <c r="AD29" s="185">
        <f t="shared" si="14"/>
        <v>0</v>
      </c>
      <c r="AE29" s="181"/>
      <c r="AF29" s="25"/>
      <c r="AG29" s="25"/>
      <c r="AH29" s="3"/>
      <c r="AI29" s="3"/>
      <c r="AJ29" s="3"/>
      <c r="AK29" s="3"/>
    </row>
    <row r="30" spans="1:34" ht="18.75" thickTop="1">
      <c r="A30" s="28" t="s">
        <v>126</v>
      </c>
      <c r="B30" s="29"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74"/>
      <c r="M30" s="74"/>
      <c r="N30" s="74"/>
      <c r="O30" s="74"/>
      <c r="P30" s="31"/>
      <c r="Q30" s="31"/>
      <c r="R30" s="186">
        <f>R29/B32</f>
        <v>0.9361583236321304</v>
      </c>
      <c r="S30" s="186">
        <f aca="true" t="shared" si="15" ref="S30:AD30">S29/$R29</f>
        <v>0.4974134500596896</v>
      </c>
      <c r="T30" s="187">
        <f t="shared" si="15"/>
        <v>12.340181058495821</v>
      </c>
      <c r="U30" s="187">
        <f t="shared" si="15"/>
        <v>94.0724233983287</v>
      </c>
      <c r="V30" s="187">
        <f t="shared" si="15"/>
        <v>17.21016713091922</v>
      </c>
      <c r="W30" s="187">
        <f t="shared" si="15"/>
        <v>174.9398129725428</v>
      </c>
      <c r="X30" s="187">
        <f t="shared" si="15"/>
        <v>384.59828889773183</v>
      </c>
      <c r="Y30" s="187">
        <f t="shared" si="15"/>
        <v>6.224122562674095</v>
      </c>
      <c r="Z30" s="187">
        <f t="shared" si="15"/>
        <v>3.63975129327497</v>
      </c>
      <c r="AA30" s="188">
        <f t="shared" si="15"/>
        <v>1.416732988460008</v>
      </c>
      <c r="AB30" s="187">
        <f t="shared" si="15"/>
        <v>31.661360923199364</v>
      </c>
      <c r="AC30" s="187">
        <f t="shared" si="15"/>
        <v>53.70941106247514</v>
      </c>
      <c r="AD30" s="187">
        <f t="shared" si="15"/>
        <v>0</v>
      </c>
      <c r="AE30" s="145"/>
      <c r="AF30" s="3"/>
      <c r="AG30" s="3"/>
      <c r="AH30" s="3"/>
    </row>
    <row r="31" spans="1:34" ht="18">
      <c r="A31" s="28" t="s">
        <v>127</v>
      </c>
      <c r="B31" s="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42"/>
      <c r="Q31" s="31"/>
      <c r="R31" s="102" t="s">
        <v>139</v>
      </c>
      <c r="S31" s="71" t="s">
        <v>141</v>
      </c>
      <c r="T31" s="190" t="s">
        <v>69</v>
      </c>
      <c r="U31" s="190" t="s">
        <v>70</v>
      </c>
      <c r="V31" s="190" t="s">
        <v>142</v>
      </c>
      <c r="W31" s="31" t="s">
        <v>71</v>
      </c>
      <c r="X31" s="31"/>
      <c r="Y31" s="31"/>
      <c r="Z31" s="31"/>
      <c r="AA31" s="31"/>
      <c r="AB31" s="181" t="s">
        <v>78</v>
      </c>
      <c r="AC31" s="181" t="s">
        <v>156</v>
      </c>
      <c r="AD31" s="181"/>
      <c r="AE31" s="145"/>
      <c r="AF31" s="3"/>
      <c r="AG31" s="3"/>
      <c r="AH31" s="3"/>
    </row>
    <row r="32" spans="1:34" ht="18.75" thickBot="1">
      <c r="A32" s="26" t="s">
        <v>128</v>
      </c>
      <c r="B32" s="196">
        <f>B29-B31-B30</f>
        <v>859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74" t="s">
        <v>140</v>
      </c>
      <c r="S32" s="39"/>
      <c r="T32" s="39"/>
      <c r="U32" s="39"/>
      <c r="V32" s="39"/>
      <c r="W32" s="191">
        <f>W30/1000</f>
        <v>0.1749398129725428</v>
      </c>
      <c r="X32" s="191">
        <f>X30/1000</f>
        <v>0.38459828889773184</v>
      </c>
      <c r="Y32" s="191">
        <f>Y30/1000</f>
        <v>0.006224122562674095</v>
      </c>
      <c r="Z32" s="191">
        <f>Z30/1000</f>
        <v>0.00363975129327497</v>
      </c>
      <c r="AA32" s="191">
        <f>AA30/1000</f>
        <v>0.001416732988460008</v>
      </c>
      <c r="AB32" s="192"/>
      <c r="AC32" s="191">
        <f>AC30/1000</f>
        <v>0.05370941106247514</v>
      </c>
      <c r="AD32" s="191">
        <f>AD30/1000</f>
        <v>0</v>
      </c>
      <c r="AE32" s="145"/>
      <c r="AF32" s="3"/>
      <c r="AG32" s="3"/>
      <c r="AH32" s="3"/>
    </row>
    <row r="33" spans="1:34" ht="18.75" thickTop="1">
      <c r="A33" s="200"/>
      <c r="B33" s="19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74"/>
      <c r="S33" s="39"/>
      <c r="T33" s="39"/>
      <c r="U33" s="39"/>
      <c r="V33" s="39"/>
      <c r="W33" s="191"/>
      <c r="X33" s="191"/>
      <c r="Y33" s="191"/>
      <c r="Z33" s="191"/>
      <c r="AA33" s="191"/>
      <c r="AB33" s="192"/>
      <c r="AC33" s="191"/>
      <c r="AD33" s="191"/>
      <c r="AE33" s="145"/>
      <c r="AF33" s="3"/>
      <c r="AG33" s="3"/>
      <c r="AH33" s="3"/>
    </row>
    <row r="34" spans="1:34" ht="18">
      <c r="A34" s="200"/>
      <c r="B34" s="19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74"/>
      <c r="S34" s="39"/>
      <c r="T34" s="39"/>
      <c r="U34" s="39"/>
      <c r="V34" s="39"/>
      <c r="W34" s="191"/>
      <c r="X34" s="191"/>
      <c r="Y34" s="191"/>
      <c r="Z34" s="191"/>
      <c r="AA34" s="191"/>
      <c r="AB34" s="192"/>
      <c r="AC34" s="191"/>
      <c r="AD34" s="191"/>
      <c r="AE34" s="145"/>
      <c r="AF34" s="3"/>
      <c r="AG34" s="3"/>
      <c r="AH34" s="3"/>
    </row>
    <row r="35" spans="1:32" ht="26.25">
      <c r="A35" s="30" t="str">
        <f>A1</f>
        <v>EN-DAGARS FODERSTATSKONTROLL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74"/>
      <c r="M35" s="74"/>
      <c r="N35" s="74"/>
      <c r="O35" s="74"/>
      <c r="P35" s="74"/>
      <c r="Q35" s="31"/>
      <c r="R35" s="31"/>
      <c r="S35" s="31"/>
      <c r="T35" s="31"/>
      <c r="U35" s="31"/>
      <c r="V35" s="39"/>
      <c r="W35" s="39"/>
      <c r="X35" s="181"/>
      <c r="Y35" s="145"/>
      <c r="Z35" s="145"/>
      <c r="AA35" s="145"/>
      <c r="AB35" s="145"/>
      <c r="AC35" s="145"/>
      <c r="AD35" s="145"/>
      <c r="AE35" s="145"/>
      <c r="AF35" s="3"/>
    </row>
    <row r="36" spans="1:32" ht="15">
      <c r="A36" s="31" t="s">
        <v>88</v>
      </c>
      <c r="B36" s="31" t="str">
        <f>B4</f>
        <v>x</v>
      </c>
      <c r="C36" s="31"/>
      <c r="D36" s="31"/>
      <c r="E36" s="31"/>
      <c r="F36" s="31"/>
      <c r="G36" s="31"/>
      <c r="H36" s="31"/>
      <c r="I36" s="31"/>
      <c r="J36" s="31"/>
      <c r="K36" s="31"/>
      <c r="L36" s="74"/>
      <c r="M36" s="74"/>
      <c r="N36" s="74"/>
      <c r="O36" s="74"/>
      <c r="P36" s="39"/>
      <c r="Q36" s="54" t="s">
        <v>83</v>
      </c>
      <c r="R36" s="54" t="s">
        <v>84</v>
      </c>
      <c r="S36" s="54" t="s">
        <v>85</v>
      </c>
      <c r="T36" s="54" t="s">
        <v>84</v>
      </c>
      <c r="U36" s="54" t="s">
        <v>85</v>
      </c>
      <c r="V36" s="54"/>
      <c r="W36" s="54"/>
      <c r="X36" s="181"/>
      <c r="Y36" s="31"/>
      <c r="Z36" s="31"/>
      <c r="AA36" s="31"/>
      <c r="AB36" s="31"/>
      <c r="AC36" s="145"/>
      <c r="AD36" s="145"/>
      <c r="AE36" s="145"/>
      <c r="AF36" s="3"/>
    </row>
    <row r="37" spans="1:32" ht="15">
      <c r="A37" s="31" t="s">
        <v>89</v>
      </c>
      <c r="B37" s="93">
        <f>F3</f>
        <v>39163</v>
      </c>
      <c r="C37" s="31"/>
      <c r="D37" s="31"/>
      <c r="E37" s="31"/>
      <c r="F37" s="31"/>
      <c r="G37" s="31"/>
      <c r="H37" s="31"/>
      <c r="I37" s="31"/>
      <c r="J37" s="31"/>
      <c r="K37" s="31"/>
      <c r="L37" s="74"/>
      <c r="M37" s="74"/>
      <c r="N37" s="74"/>
      <c r="O37" s="74"/>
      <c r="P37" s="39"/>
      <c r="Q37" s="39" t="s">
        <v>107</v>
      </c>
      <c r="R37" s="39" t="s">
        <v>51</v>
      </c>
      <c r="S37" s="39" t="s">
        <v>51</v>
      </c>
      <c r="T37" s="39" t="s">
        <v>52</v>
      </c>
      <c r="U37" s="39" t="s">
        <v>52</v>
      </c>
      <c r="V37" s="39"/>
      <c r="W37" s="39"/>
      <c r="X37" s="39" t="s">
        <v>95</v>
      </c>
      <c r="Y37" s="39" t="s">
        <v>96</v>
      </c>
      <c r="Z37" s="39" t="s">
        <v>97</v>
      </c>
      <c r="AA37" s="39" t="s">
        <v>100</v>
      </c>
      <c r="AB37" s="31"/>
      <c r="AC37" s="145"/>
      <c r="AD37" s="145"/>
      <c r="AE37" s="145"/>
      <c r="AF37" s="3"/>
    </row>
    <row r="38" spans="1:32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74"/>
      <c r="M38" s="74"/>
      <c r="N38" s="74"/>
      <c r="O38" s="74"/>
      <c r="P38" s="74"/>
      <c r="Q38" s="133" t="s">
        <v>50</v>
      </c>
      <c r="R38" s="70" t="s">
        <v>53</v>
      </c>
      <c r="S38" s="70" t="s">
        <v>54</v>
      </c>
      <c r="T38" s="70" t="s">
        <v>55</v>
      </c>
      <c r="U38" s="70" t="s">
        <v>56</v>
      </c>
      <c r="V38" s="133"/>
      <c r="W38" s="133"/>
      <c r="X38" s="31">
        <v>10</v>
      </c>
      <c r="Y38" s="31">
        <v>10</v>
      </c>
      <c r="Z38" s="31">
        <v>13</v>
      </c>
      <c r="AA38" s="31">
        <v>50</v>
      </c>
      <c r="AB38" s="193"/>
      <c r="AC38" s="145"/>
      <c r="AD38" s="145"/>
      <c r="AE38" s="145"/>
      <c r="AF38" s="3"/>
    </row>
    <row r="39" spans="1:32" ht="15">
      <c r="A39" s="31"/>
      <c r="B39" s="31"/>
      <c r="C39" s="31"/>
      <c r="D39" s="94" t="s">
        <v>92</v>
      </c>
      <c r="E39" s="95" t="s">
        <v>112</v>
      </c>
      <c r="F39" s="94" t="s">
        <v>159</v>
      </c>
      <c r="G39" s="31"/>
      <c r="H39" s="31"/>
      <c r="I39" s="31"/>
      <c r="J39" s="94" t="s">
        <v>92</v>
      </c>
      <c r="K39" s="95" t="s">
        <v>112</v>
      </c>
      <c r="L39" s="94" t="s">
        <v>159</v>
      </c>
      <c r="M39" s="74"/>
      <c r="N39" s="74"/>
      <c r="O39" s="74"/>
      <c r="P39" s="74"/>
      <c r="Q39" s="39">
        <v>400</v>
      </c>
      <c r="R39" s="71">
        <v>25</v>
      </c>
      <c r="S39" s="71">
        <v>15</v>
      </c>
      <c r="T39" s="35">
        <v>12</v>
      </c>
      <c r="U39" s="35">
        <v>9</v>
      </c>
      <c r="V39" s="31"/>
      <c r="W39" s="31"/>
      <c r="X39" s="39">
        <v>20</v>
      </c>
      <c r="Y39" s="39">
        <v>14.3</v>
      </c>
      <c r="Z39" s="39">
        <v>16</v>
      </c>
      <c r="AA39" s="39">
        <v>42</v>
      </c>
      <c r="AB39" s="193"/>
      <c r="AC39" s="145"/>
      <c r="AD39" s="145"/>
      <c r="AE39" s="145"/>
      <c r="AF39" s="3"/>
    </row>
    <row r="40" spans="1:32" ht="15">
      <c r="A40" s="64" t="s">
        <v>18</v>
      </c>
      <c r="B40" s="74"/>
      <c r="C40" s="74"/>
      <c r="D40" s="31"/>
      <c r="E40" s="31"/>
      <c r="F40" s="31"/>
      <c r="G40" s="96" t="s">
        <v>32</v>
      </c>
      <c r="H40" s="97"/>
      <c r="I40" s="98"/>
      <c r="J40" s="31"/>
      <c r="K40" s="31"/>
      <c r="L40" s="74"/>
      <c r="M40" s="74"/>
      <c r="N40" s="74"/>
      <c r="O40" s="99"/>
      <c r="P40" s="99"/>
      <c r="Q40" s="39">
        <v>500</v>
      </c>
      <c r="R40" s="71">
        <v>28</v>
      </c>
      <c r="S40" s="71">
        <v>17</v>
      </c>
      <c r="T40" s="35">
        <v>15</v>
      </c>
      <c r="U40" s="35">
        <v>11</v>
      </c>
      <c r="V40" s="31"/>
      <c r="W40" s="31"/>
      <c r="X40" s="39">
        <v>30</v>
      </c>
      <c r="Y40" s="39">
        <v>18.6</v>
      </c>
      <c r="Z40" s="39">
        <v>17</v>
      </c>
      <c r="AA40" s="39">
        <v>37</v>
      </c>
      <c r="AB40" s="193"/>
      <c r="AC40" s="145"/>
      <c r="AD40" s="145"/>
      <c r="AE40" s="145"/>
      <c r="AF40" s="3"/>
    </row>
    <row r="41" spans="1:32" ht="15">
      <c r="A41" s="100" t="s">
        <v>81</v>
      </c>
      <c r="B41" s="74"/>
      <c r="C41" s="74"/>
      <c r="D41" s="101">
        <f>E12</f>
        <v>1033.0933757961784</v>
      </c>
      <c r="E41" s="102"/>
      <c r="F41" s="39"/>
      <c r="G41" s="103" t="s">
        <v>33</v>
      </c>
      <c r="H41" s="71"/>
      <c r="I41" s="71"/>
      <c r="J41" s="104">
        <f>(T29-S4*B8-S10-S12)/D41</f>
        <v>6.837772635743021</v>
      </c>
      <c r="K41" s="102" t="s">
        <v>98</v>
      </c>
      <c r="L41" s="105"/>
      <c r="M41" s="74"/>
      <c r="N41" s="74"/>
      <c r="O41" s="99"/>
      <c r="P41" s="99"/>
      <c r="Q41" s="39">
        <v>600</v>
      </c>
      <c r="R41" s="71">
        <v>31</v>
      </c>
      <c r="S41" s="71">
        <v>19</v>
      </c>
      <c r="T41" s="35">
        <v>18</v>
      </c>
      <c r="U41" s="35">
        <v>13</v>
      </c>
      <c r="V41" s="31"/>
      <c r="W41" s="31"/>
      <c r="X41" s="39">
        <v>40</v>
      </c>
      <c r="Y41" s="39">
        <v>22.9</v>
      </c>
      <c r="Z41" s="39">
        <v>18</v>
      </c>
      <c r="AA41" s="39">
        <v>34</v>
      </c>
      <c r="AB41" s="193"/>
      <c r="AC41" s="145"/>
      <c r="AD41" s="145"/>
      <c r="AE41" s="145"/>
      <c r="AF41" s="3"/>
    </row>
    <row r="42" spans="1:32" ht="15">
      <c r="A42" s="100" t="s">
        <v>19</v>
      </c>
      <c r="B42" s="74"/>
      <c r="C42" s="74"/>
      <c r="D42" s="106">
        <f>D41/B8</f>
        <v>25.82733439490446</v>
      </c>
      <c r="E42" s="102"/>
      <c r="F42" s="39"/>
      <c r="G42" s="103" t="s">
        <v>35</v>
      </c>
      <c r="H42" s="71"/>
      <c r="I42" s="71"/>
      <c r="J42" s="104">
        <f>U29/T29</f>
        <v>7.62326119466155</v>
      </c>
      <c r="K42" s="102" t="s">
        <v>113</v>
      </c>
      <c r="L42" s="31"/>
      <c r="M42" s="74"/>
      <c r="N42" s="99"/>
      <c r="O42" s="99"/>
      <c r="P42" s="99"/>
      <c r="Q42" s="39">
        <v>700</v>
      </c>
      <c r="R42" s="71">
        <v>34</v>
      </c>
      <c r="S42" s="71">
        <v>21</v>
      </c>
      <c r="T42" s="35">
        <v>21</v>
      </c>
      <c r="U42" s="35">
        <v>15</v>
      </c>
      <c r="V42" s="31"/>
      <c r="W42" s="31"/>
      <c r="X42" s="39">
        <v>50</v>
      </c>
      <c r="Y42" s="39">
        <v>27.2</v>
      </c>
      <c r="Z42" s="39">
        <v>19</v>
      </c>
      <c r="AA42" s="39">
        <v>32</v>
      </c>
      <c r="AB42" s="193"/>
      <c r="AC42" s="145"/>
      <c r="AD42" s="145"/>
      <c r="AE42" s="145"/>
      <c r="AF42" s="3"/>
    </row>
    <row r="43" spans="1:31" ht="15">
      <c r="A43" s="31" t="s">
        <v>76</v>
      </c>
      <c r="B43" s="31"/>
      <c r="C43" s="31"/>
      <c r="D43" s="106">
        <f>R29/B8</f>
        <v>20.104</v>
      </c>
      <c r="E43" s="107">
        <f>4.9+0.015*B9+0.2*E14</f>
        <v>20.794789171974525</v>
      </c>
      <c r="F43" s="107">
        <f>0.43*B14+5.7</f>
        <v>19.89</v>
      </c>
      <c r="G43" s="103" t="s">
        <v>34</v>
      </c>
      <c r="H43" s="71"/>
      <c r="I43" s="71"/>
      <c r="J43" s="104">
        <f>(U29-T4*B8-T10-T12)/D41</f>
        <v>55.59521667812482</v>
      </c>
      <c r="K43" s="102" t="s">
        <v>99</v>
      </c>
      <c r="L43" s="108"/>
      <c r="M43" s="74"/>
      <c r="N43" s="99"/>
      <c r="O43" s="109"/>
      <c r="P43" s="109"/>
      <c r="Q43" s="109"/>
      <c r="R43" s="109"/>
      <c r="S43" s="194"/>
      <c r="T43" s="39"/>
      <c r="U43" s="39"/>
      <c r="V43" s="39"/>
      <c r="W43" s="39"/>
      <c r="X43" s="145"/>
      <c r="Y43" s="39"/>
      <c r="Z43" s="39"/>
      <c r="AA43" s="39"/>
      <c r="AB43" s="39"/>
      <c r="AC43" s="31"/>
      <c r="AD43" s="31"/>
      <c r="AE43" s="31"/>
    </row>
    <row r="44" spans="1:31" ht="15">
      <c r="A44" s="100" t="s">
        <v>20</v>
      </c>
      <c r="B44" s="74"/>
      <c r="C44" s="74"/>
      <c r="D44" s="106">
        <f>S29/B8</f>
        <v>10</v>
      </c>
      <c r="E44" s="102"/>
      <c r="F44" s="39"/>
      <c r="G44" s="103" t="s">
        <v>36</v>
      </c>
      <c r="H44" s="71"/>
      <c r="I44" s="71"/>
      <c r="J44" s="110">
        <f>V29/B8</f>
        <v>345.9932</v>
      </c>
      <c r="K44" s="102" t="s">
        <v>94</v>
      </c>
      <c r="L44" s="74"/>
      <c r="M44" s="74"/>
      <c r="N44" s="99"/>
      <c r="O44" s="109"/>
      <c r="P44" s="109"/>
      <c r="Q44" s="109"/>
      <c r="R44" s="109"/>
      <c r="S44" s="39"/>
      <c r="T44" s="39"/>
      <c r="U44" s="39"/>
      <c r="V44" s="39"/>
      <c r="W44" s="39"/>
      <c r="X44" s="145"/>
      <c r="Y44" s="39"/>
      <c r="Z44" s="39"/>
      <c r="AA44" s="39"/>
      <c r="AB44" s="39"/>
      <c r="AC44" s="31"/>
      <c r="AD44" s="31"/>
      <c r="AE44" s="31"/>
    </row>
    <row r="45" spans="1:31" ht="15">
      <c r="A45" s="100" t="s">
        <v>21</v>
      </c>
      <c r="B45" s="74"/>
      <c r="C45" s="74"/>
      <c r="D45" s="106">
        <f>D43-D44</f>
        <v>10.104</v>
      </c>
      <c r="E45" s="102"/>
      <c r="F45" s="39"/>
      <c r="G45" s="31" t="s">
        <v>66</v>
      </c>
      <c r="H45" s="31"/>
      <c r="I45" s="31"/>
      <c r="J45" s="111">
        <f>W32</f>
        <v>0.1749398129725428</v>
      </c>
      <c r="K45" s="31"/>
      <c r="L45" s="107">
        <f>3.607*LN(B14)+4.841</f>
        <v>17.452902774209594</v>
      </c>
      <c r="M45" s="80"/>
      <c r="N45" s="109"/>
      <c r="O45" s="109"/>
      <c r="P45" s="109"/>
      <c r="Q45" s="109"/>
      <c r="R45" s="109"/>
      <c r="S45" s="39"/>
      <c r="T45" s="195"/>
      <c r="U45" s="39"/>
      <c r="V45" s="39"/>
      <c r="W45" s="39"/>
      <c r="X45" s="145"/>
      <c r="Y45" s="39"/>
      <c r="Z45" s="39"/>
      <c r="AA45" s="39"/>
      <c r="AB45" s="39"/>
      <c r="AC45" s="31"/>
      <c r="AD45" s="31"/>
      <c r="AE45" s="31"/>
    </row>
    <row r="46" spans="1:31" ht="15">
      <c r="A46" s="100" t="s">
        <v>22</v>
      </c>
      <c r="B46" s="74"/>
      <c r="C46" s="74"/>
      <c r="D46" s="112">
        <f>D44/D43</f>
        <v>0.4974134500596896</v>
      </c>
      <c r="E46" s="102"/>
      <c r="F46" s="74"/>
      <c r="G46" s="31" t="s">
        <v>67</v>
      </c>
      <c r="H46" s="31"/>
      <c r="I46" s="31"/>
      <c r="J46" s="111">
        <f>X32</f>
        <v>0.38459828889773184</v>
      </c>
      <c r="K46" s="39" t="s">
        <v>117</v>
      </c>
      <c r="L46" s="97">
        <f>95.98*(B14^-0.2802)/100</f>
        <v>0.3603239582053896</v>
      </c>
      <c r="M46" s="80"/>
      <c r="N46" s="109"/>
      <c r="O46" s="113"/>
      <c r="P46" s="113"/>
      <c r="Q46" s="113"/>
      <c r="R46" s="113"/>
      <c r="S46" s="39"/>
      <c r="T46" s="109"/>
      <c r="U46" s="39"/>
      <c r="V46" s="39"/>
      <c r="W46" s="39"/>
      <c r="X46" s="145"/>
      <c r="Y46" s="39"/>
      <c r="Z46" s="39"/>
      <c r="AA46" s="39"/>
      <c r="AB46" s="39"/>
      <c r="AC46" s="31"/>
      <c r="AD46" s="31"/>
      <c r="AE46" s="31"/>
    </row>
    <row r="47" spans="1:31" ht="15">
      <c r="A47" s="100" t="s">
        <v>77</v>
      </c>
      <c r="B47" s="74"/>
      <c r="C47" s="74"/>
      <c r="D47" s="114">
        <f>D45/D42</f>
        <v>0.39121342704237577</v>
      </c>
      <c r="E47" s="102" t="s">
        <v>93</v>
      </c>
      <c r="F47" s="74"/>
      <c r="G47" s="31" t="s">
        <v>162</v>
      </c>
      <c r="H47" s="31"/>
      <c r="I47" s="31"/>
      <c r="J47" s="101">
        <f>AB29/R29</f>
        <v>31.661360923199364</v>
      </c>
      <c r="K47" s="115" t="s">
        <v>167</v>
      </c>
      <c r="L47" s="74"/>
      <c r="M47" s="80"/>
      <c r="N47" s="109"/>
      <c r="O47" s="109"/>
      <c r="P47" s="109"/>
      <c r="Q47" s="109"/>
      <c r="R47" s="109"/>
      <c r="S47" s="39"/>
      <c r="T47" s="195"/>
      <c r="U47" s="39"/>
      <c r="V47" s="39"/>
      <c r="W47" s="39"/>
      <c r="X47" s="145"/>
      <c r="Y47" s="39"/>
      <c r="Z47" s="39"/>
      <c r="AA47" s="39"/>
      <c r="AB47" s="39"/>
      <c r="AC47" s="31"/>
      <c r="AD47" s="31"/>
      <c r="AE47" s="31"/>
    </row>
    <row r="48" spans="1:31" ht="15">
      <c r="A48" s="31" t="s">
        <v>82</v>
      </c>
      <c r="B48" s="31"/>
      <c r="C48" s="31"/>
      <c r="D48" s="114">
        <f>(R29-S29)/B12</f>
        <v>0.4082424242424242</v>
      </c>
      <c r="E48" s="102" t="s">
        <v>93</v>
      </c>
      <c r="F48" s="99"/>
      <c r="G48" s="31" t="s">
        <v>115</v>
      </c>
      <c r="H48" s="31"/>
      <c r="I48" s="31"/>
      <c r="J48" s="197">
        <f>Y32</f>
        <v>0.006224122562674095</v>
      </c>
      <c r="K48" s="71"/>
      <c r="L48" s="74" t="s">
        <v>165</v>
      </c>
      <c r="M48" s="74"/>
      <c r="N48" s="113"/>
      <c r="O48" s="113"/>
      <c r="P48" s="113"/>
      <c r="Q48" s="113"/>
      <c r="R48" s="113"/>
      <c r="S48" s="39"/>
      <c r="T48" s="109"/>
      <c r="U48" s="39"/>
      <c r="V48" s="39"/>
      <c r="W48" s="39"/>
      <c r="X48" s="145"/>
      <c r="Y48" s="39"/>
      <c r="Z48" s="39"/>
      <c r="AA48" s="39"/>
      <c r="AB48" s="39"/>
      <c r="AC48" s="31"/>
      <c r="AD48" s="31"/>
      <c r="AE48" s="31"/>
    </row>
    <row r="49" spans="1:31" ht="15">
      <c r="A49" s="100" t="s">
        <v>24</v>
      </c>
      <c r="B49" s="74"/>
      <c r="C49" s="74"/>
      <c r="D49" s="106">
        <f>T30</f>
        <v>12.340181058495821</v>
      </c>
      <c r="E49" s="116"/>
      <c r="F49" s="99"/>
      <c r="G49" s="31" t="s">
        <v>116</v>
      </c>
      <c r="H49" s="31"/>
      <c r="I49" s="31"/>
      <c r="J49" s="197">
        <f>Z32</f>
        <v>0.00363975129327497</v>
      </c>
      <c r="K49" s="71" t="s">
        <v>168</v>
      </c>
      <c r="L49" s="39" t="s">
        <v>166</v>
      </c>
      <c r="M49" s="74"/>
      <c r="N49" s="109"/>
      <c r="O49" s="39"/>
      <c r="P49" s="39"/>
      <c r="Q49" s="39"/>
      <c r="R49" s="39"/>
      <c r="S49" s="39"/>
      <c r="T49" s="39"/>
      <c r="U49" s="39"/>
      <c r="V49" s="39"/>
      <c r="W49" s="39"/>
      <c r="X49" s="145"/>
      <c r="Y49" s="39"/>
      <c r="Z49" s="39"/>
      <c r="AA49" s="39"/>
      <c r="AB49" s="39"/>
      <c r="AC49" s="31"/>
      <c r="AD49" s="31"/>
      <c r="AE49" s="31"/>
    </row>
    <row r="50" spans="1:31" ht="15">
      <c r="A50" s="31"/>
      <c r="B50" s="31"/>
      <c r="C50" s="31"/>
      <c r="D50" s="35"/>
      <c r="E50" s="99"/>
      <c r="F50" s="99"/>
      <c r="M50" s="74"/>
      <c r="N50" s="113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1"/>
      <c r="AD50" s="31"/>
      <c r="AE50" s="31"/>
    </row>
    <row r="51" spans="1:31" ht="15">
      <c r="A51" s="31"/>
      <c r="B51" s="31"/>
      <c r="C51" s="31"/>
      <c r="D51" s="35"/>
      <c r="E51" s="109"/>
      <c r="F51" s="109"/>
      <c r="G51" s="117" t="s">
        <v>28</v>
      </c>
      <c r="H51" s="99"/>
      <c r="I51" s="99"/>
      <c r="J51" s="118"/>
      <c r="K51" s="102"/>
      <c r="L51" s="74"/>
      <c r="M51" s="74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1"/>
      <c r="AD51" s="31"/>
      <c r="AE51" s="31"/>
    </row>
    <row r="52" spans="1:31" ht="15">
      <c r="A52" s="120" t="s">
        <v>49</v>
      </c>
      <c r="B52" s="109"/>
      <c r="C52" s="109"/>
      <c r="D52" s="112"/>
      <c r="E52" s="109"/>
      <c r="F52" s="109"/>
      <c r="G52" s="31" t="s">
        <v>91</v>
      </c>
      <c r="H52" s="31"/>
      <c r="I52" s="31"/>
      <c r="J52" s="106">
        <f>Y29/Z29</f>
        <v>1.7100406212298542</v>
      </c>
      <c r="K52" s="102" t="s">
        <v>157</v>
      </c>
      <c r="L52" s="74"/>
      <c r="M52" s="74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1"/>
      <c r="AD52" s="31"/>
      <c r="AE52" s="31"/>
    </row>
    <row r="53" spans="1:31" ht="15">
      <c r="A53" s="121" t="s">
        <v>29</v>
      </c>
      <c r="B53" s="122"/>
      <c r="C53" s="122"/>
      <c r="D53" s="123">
        <f>(B12*F12)-AA29</f>
        <v>1335.72</v>
      </c>
      <c r="E53" s="109"/>
      <c r="F53" s="109"/>
      <c r="G53" s="119" t="s">
        <v>169</v>
      </c>
      <c r="H53" s="109"/>
      <c r="I53" s="109"/>
      <c r="J53" s="104">
        <f>(Y29-U13)/B8</f>
        <v>20.548690573248404</v>
      </c>
      <c r="K53" s="102" t="s">
        <v>163</v>
      </c>
      <c r="L53" s="74"/>
      <c r="M53" s="74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1"/>
      <c r="AD53" s="31"/>
      <c r="AE53" s="31"/>
    </row>
    <row r="54" spans="1:31" ht="15">
      <c r="A54" s="119" t="s">
        <v>30</v>
      </c>
      <c r="B54" s="124"/>
      <c r="C54" s="124"/>
      <c r="D54" s="125">
        <f>D53/B8</f>
        <v>33.393</v>
      </c>
      <c r="E54" s="113"/>
      <c r="F54" s="113"/>
      <c r="G54" s="119" t="s">
        <v>170</v>
      </c>
      <c r="H54" s="109"/>
      <c r="I54" s="109"/>
      <c r="J54" s="104">
        <f>(Z29-V13)/B8</f>
        <v>8.429824968152854</v>
      </c>
      <c r="K54" s="102" t="s">
        <v>164</v>
      </c>
      <c r="L54" s="74"/>
      <c r="M54" s="74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1"/>
      <c r="AD54" s="31"/>
      <c r="AE54" s="31"/>
    </row>
    <row r="55" spans="1:31" ht="15">
      <c r="A55" s="121" t="s">
        <v>90</v>
      </c>
      <c r="B55" s="122"/>
      <c r="C55" s="122"/>
      <c r="D55" s="126">
        <f>D53/E12</f>
        <v>1.2929324989336952</v>
      </c>
      <c r="E55" s="109"/>
      <c r="F55" s="109"/>
      <c r="M55" s="74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1"/>
      <c r="AD55" s="31"/>
      <c r="AE55" s="31"/>
    </row>
    <row r="56" spans="1:31" ht="15">
      <c r="A56" s="31"/>
      <c r="B56" s="31"/>
      <c r="C56" s="31"/>
      <c r="D56" s="31"/>
      <c r="E56" s="113"/>
      <c r="F56" s="113"/>
      <c r="G56" s="64" t="s">
        <v>109</v>
      </c>
      <c r="H56" s="31"/>
      <c r="I56" s="71"/>
      <c r="J56" s="35"/>
      <c r="K56" s="71"/>
      <c r="L56" s="71"/>
      <c r="M56" s="74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1"/>
      <c r="AD56" s="31"/>
      <c r="AE56" s="31"/>
    </row>
    <row r="57" spans="1:31" ht="15.75">
      <c r="A57" s="64" t="s">
        <v>9</v>
      </c>
      <c r="B57" s="39"/>
      <c r="C57" s="39"/>
      <c r="D57" s="99"/>
      <c r="E57" s="69"/>
      <c r="F57" s="127" t="s">
        <v>175</v>
      </c>
      <c r="G57" s="31" t="s">
        <v>114</v>
      </c>
      <c r="H57" s="31"/>
      <c r="I57" s="31"/>
      <c r="J57" s="128">
        <f>B12*D12/100/(W29/1000)</f>
        <v>0.23504473996229733</v>
      </c>
      <c r="K57" s="71" t="s">
        <v>117</v>
      </c>
      <c r="L57" s="71"/>
      <c r="M57" s="74"/>
      <c r="N57" s="39"/>
      <c r="O57" s="129" t="s">
        <v>83</v>
      </c>
      <c r="P57" s="54" t="s">
        <v>26</v>
      </c>
      <c r="Q57" s="54" t="s">
        <v>26</v>
      </c>
      <c r="R57" s="54" t="s">
        <v>27</v>
      </c>
      <c r="S57" s="54" t="s">
        <v>27</v>
      </c>
      <c r="T57" s="31"/>
      <c r="U57" s="31"/>
      <c r="V57" s="39"/>
      <c r="W57" s="39"/>
      <c r="X57" s="39"/>
      <c r="Y57" s="39"/>
      <c r="Z57" s="39"/>
      <c r="AA57" s="39"/>
      <c r="AB57" s="39"/>
      <c r="AC57" s="31"/>
      <c r="AD57" s="31"/>
      <c r="AE57" s="31"/>
    </row>
    <row r="58" spans="1:31" ht="15.75">
      <c r="A58" s="103" t="s">
        <v>90</v>
      </c>
      <c r="B58" s="127"/>
      <c r="C58" s="130"/>
      <c r="D58" s="131">
        <f>AA29/E12</f>
        <v>1.102785117678241</v>
      </c>
      <c r="E58" s="97"/>
      <c r="F58" s="97"/>
      <c r="G58" s="31" t="s">
        <v>143</v>
      </c>
      <c r="H58" s="31"/>
      <c r="I58" s="31"/>
      <c r="J58" s="132">
        <f>AC29/W29</f>
        <v>0.30701651127811</v>
      </c>
      <c r="K58" s="71"/>
      <c r="L58" s="71"/>
      <c r="M58" s="39"/>
      <c r="N58" s="39"/>
      <c r="O58" s="39" t="s">
        <v>120</v>
      </c>
      <c r="P58" s="54" t="s">
        <v>135</v>
      </c>
      <c r="Q58" s="54" t="s">
        <v>136</v>
      </c>
      <c r="R58" s="54" t="s">
        <v>135</v>
      </c>
      <c r="S58" s="54" t="s">
        <v>137</v>
      </c>
      <c r="T58" s="31"/>
      <c r="U58" s="31"/>
      <c r="V58" s="39"/>
      <c r="W58" s="39"/>
      <c r="X58" s="39"/>
      <c r="Y58" s="39"/>
      <c r="Z58" s="39"/>
      <c r="AA58" s="39"/>
      <c r="AB58" s="39"/>
      <c r="AC58" s="31"/>
      <c r="AD58" s="31"/>
      <c r="AE58" s="31"/>
    </row>
    <row r="59" spans="1:31" ht="15">
      <c r="A59" s="31"/>
      <c r="B59" s="31"/>
      <c r="C59" s="31"/>
      <c r="D59" s="31"/>
      <c r="E59" s="39"/>
      <c r="F59" s="31"/>
      <c r="G59" s="31"/>
      <c r="H59" s="31"/>
      <c r="I59" s="31"/>
      <c r="J59" s="31"/>
      <c r="K59" s="71"/>
      <c r="L59" s="31"/>
      <c r="M59" s="39"/>
      <c r="N59" s="39"/>
      <c r="O59" s="133" t="s">
        <v>50</v>
      </c>
      <c r="P59" s="70" t="s">
        <v>121</v>
      </c>
      <c r="Q59" s="70" t="s">
        <v>118</v>
      </c>
      <c r="R59" s="70" t="s">
        <v>122</v>
      </c>
      <c r="S59" s="70" t="s">
        <v>119</v>
      </c>
      <c r="T59" s="31"/>
      <c r="U59" s="31"/>
      <c r="V59" s="39"/>
      <c r="W59" s="39"/>
      <c r="X59" s="39"/>
      <c r="Y59" s="39"/>
      <c r="Z59" s="39"/>
      <c r="AA59" s="39"/>
      <c r="AB59" s="39"/>
      <c r="AC59" s="31"/>
      <c r="AD59" s="31"/>
      <c r="AE59" s="31"/>
    </row>
    <row r="60" spans="1:31" ht="15">
      <c r="A60" s="64"/>
      <c r="B60" s="31"/>
      <c r="C60" s="31"/>
      <c r="D60" s="31"/>
      <c r="E60" s="39"/>
      <c r="F60" s="31"/>
      <c r="G60" s="31" t="s">
        <v>148</v>
      </c>
      <c r="H60" s="31"/>
      <c r="I60" s="31"/>
      <c r="J60" s="106">
        <f>H8</f>
        <v>5</v>
      </c>
      <c r="K60" s="71" t="s">
        <v>149</v>
      </c>
      <c r="L60" s="31"/>
      <c r="M60" s="71"/>
      <c r="N60" s="39"/>
      <c r="O60" s="39">
        <v>400</v>
      </c>
      <c r="P60" s="71">
        <v>8</v>
      </c>
      <c r="Q60" s="71">
        <v>15</v>
      </c>
      <c r="R60" s="71">
        <v>68</v>
      </c>
      <c r="S60" s="35">
        <v>116</v>
      </c>
      <c r="T60" s="31"/>
      <c r="U60" s="31"/>
      <c r="V60" s="39"/>
      <c r="W60" s="39"/>
      <c r="X60" s="39"/>
      <c r="Y60" s="39"/>
      <c r="Z60" s="39"/>
      <c r="AA60" s="39"/>
      <c r="AB60" s="39"/>
      <c r="AC60" s="31"/>
      <c r="AD60" s="31"/>
      <c r="AE60" s="31"/>
    </row>
    <row r="61" spans="1:31" ht="15">
      <c r="A61" s="31"/>
      <c r="B61" s="39"/>
      <c r="C61" s="39"/>
      <c r="D61" s="134"/>
      <c r="E61" s="31"/>
      <c r="F61" s="31"/>
      <c r="G61" s="31"/>
      <c r="H61" s="31"/>
      <c r="I61" s="31"/>
      <c r="J61" s="31"/>
      <c r="K61" s="71"/>
      <c r="L61" s="31"/>
      <c r="M61" s="71"/>
      <c r="N61" s="39"/>
      <c r="O61" s="39">
        <v>500</v>
      </c>
      <c r="P61" s="71">
        <v>11</v>
      </c>
      <c r="Q61" s="71">
        <v>19</v>
      </c>
      <c r="R61" s="71">
        <v>85</v>
      </c>
      <c r="S61" s="35">
        <v>146</v>
      </c>
      <c r="T61" s="31"/>
      <c r="U61" s="31"/>
      <c r="V61" s="39"/>
      <c r="W61" s="39"/>
      <c r="X61" s="39"/>
      <c r="Y61" s="39"/>
      <c r="Z61" s="39"/>
      <c r="AA61" s="39"/>
      <c r="AB61" s="39"/>
      <c r="AC61" s="31"/>
      <c r="AD61" s="31"/>
      <c r="AE61" s="31"/>
    </row>
    <row r="62" spans="1:31" ht="15">
      <c r="A62" s="64" t="s">
        <v>146</v>
      </c>
      <c r="B62" s="31"/>
      <c r="C62" s="31"/>
      <c r="D62" s="135"/>
      <c r="E62" s="102"/>
      <c r="F62" s="31"/>
      <c r="G62" s="31"/>
      <c r="H62" s="31"/>
      <c r="I62" s="31"/>
      <c r="J62" s="31"/>
      <c r="K62" s="71"/>
      <c r="L62" s="31"/>
      <c r="M62" s="71"/>
      <c r="N62" s="39"/>
      <c r="O62" s="39">
        <v>600</v>
      </c>
      <c r="P62" s="71">
        <v>13</v>
      </c>
      <c r="Q62" s="71">
        <v>23</v>
      </c>
      <c r="R62" s="71">
        <v>98</v>
      </c>
      <c r="S62" s="35">
        <v>168</v>
      </c>
      <c r="T62" s="31"/>
      <c r="U62" s="31"/>
      <c r="V62" s="39"/>
      <c r="W62" s="39"/>
      <c r="X62" s="39"/>
      <c r="Y62" s="39"/>
      <c r="Z62" s="39"/>
      <c r="AA62" s="39"/>
      <c r="AB62" s="39"/>
      <c r="AC62" s="31"/>
      <c r="AD62" s="31"/>
      <c r="AE62" s="31"/>
    </row>
    <row r="63" spans="1:31" ht="15">
      <c r="A63" s="31" t="s">
        <v>146</v>
      </c>
      <c r="B63" s="31"/>
      <c r="C63" s="31"/>
      <c r="D63" s="135">
        <f>S8/(T29-S10-S12-S5)</f>
        <v>0.8288051137482089</v>
      </c>
      <c r="E63" s="102" t="s">
        <v>144</v>
      </c>
      <c r="F63" s="31"/>
      <c r="G63" s="64" t="s">
        <v>150</v>
      </c>
      <c r="H63" s="31"/>
      <c r="I63" s="31"/>
      <c r="J63" s="31"/>
      <c r="K63" s="71"/>
      <c r="L63" s="71"/>
      <c r="M63" s="115"/>
      <c r="N63" s="39"/>
      <c r="O63" s="39">
        <v>700</v>
      </c>
      <c r="P63" s="71">
        <v>15</v>
      </c>
      <c r="Q63" s="71">
        <v>27</v>
      </c>
      <c r="R63" s="71">
        <v>109</v>
      </c>
      <c r="S63" s="35">
        <v>188</v>
      </c>
      <c r="T63" s="31"/>
      <c r="U63" s="31"/>
      <c r="V63" s="39"/>
      <c r="W63" s="39"/>
      <c r="X63" s="39"/>
      <c r="Y63" s="39"/>
      <c r="Z63" s="39"/>
      <c r="AA63" s="39"/>
      <c r="AB63" s="39"/>
      <c r="AC63" s="31"/>
      <c r="AD63" s="31"/>
      <c r="AE63" s="31"/>
    </row>
    <row r="64" spans="1:31" ht="15">
      <c r="A64" s="31" t="s">
        <v>172</v>
      </c>
      <c r="B64" s="31"/>
      <c r="C64" s="31"/>
      <c r="D64" s="104">
        <f>D41/R29</f>
        <v>1.2846863507214714</v>
      </c>
      <c r="E64" s="102" t="s">
        <v>173</v>
      </c>
      <c r="F64" s="31"/>
      <c r="G64" s="64"/>
      <c r="H64" s="31"/>
      <c r="I64" s="31"/>
      <c r="J64" s="31"/>
      <c r="K64" s="71"/>
      <c r="L64" s="71"/>
      <c r="M64" s="115"/>
      <c r="N64" s="39"/>
      <c r="O64" s="39"/>
      <c r="P64" s="71"/>
      <c r="Q64" s="71"/>
      <c r="R64" s="71"/>
      <c r="S64" s="35"/>
      <c r="T64" s="31"/>
      <c r="U64" s="31"/>
      <c r="V64" s="39"/>
      <c r="W64" s="39"/>
      <c r="X64" s="39"/>
      <c r="Y64" s="39"/>
      <c r="Z64" s="39"/>
      <c r="AA64" s="39"/>
      <c r="AB64" s="39"/>
      <c r="AC64" s="31"/>
      <c r="AD64" s="31"/>
      <c r="AE64" s="31"/>
    </row>
    <row r="65" spans="1:31" ht="15">
      <c r="A65" s="136" t="s">
        <v>25</v>
      </c>
      <c r="B65" s="74"/>
      <c r="C65" s="74"/>
      <c r="D65" s="137"/>
      <c r="E65" s="138"/>
      <c r="F65" s="31"/>
      <c r="G65" s="31" t="s">
        <v>151</v>
      </c>
      <c r="H65" s="31"/>
      <c r="I65" s="31"/>
      <c r="J65" s="139">
        <f>AD29/R29</f>
        <v>0</v>
      </c>
      <c r="K65" s="71" t="s">
        <v>152</v>
      </c>
      <c r="L65" s="98"/>
      <c r="M65" s="71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1"/>
      <c r="AD65" s="31"/>
      <c r="AE65" s="31"/>
    </row>
    <row r="66" spans="1:31" ht="15">
      <c r="A66" s="118" t="s">
        <v>26</v>
      </c>
      <c r="B66" s="118"/>
      <c r="C66" s="99"/>
      <c r="D66" s="135">
        <f>T29/S13</f>
        <v>1.182485527824511</v>
      </c>
      <c r="E66" s="97" t="s">
        <v>161</v>
      </c>
      <c r="F66" s="31"/>
      <c r="G66" s="31"/>
      <c r="H66" s="31"/>
      <c r="I66" s="31"/>
      <c r="J66" s="31"/>
      <c r="K66" s="31"/>
      <c r="L66" s="97"/>
      <c r="M66" s="71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1"/>
      <c r="AD66" s="31"/>
      <c r="AE66" s="31"/>
    </row>
    <row r="67" spans="1:31" ht="15">
      <c r="A67" s="118" t="s">
        <v>27</v>
      </c>
      <c r="B67" s="118"/>
      <c r="C67" s="99"/>
      <c r="D67" s="135">
        <f>U29/T13</f>
        <v>1.205874459697151</v>
      </c>
      <c r="E67" s="97" t="s">
        <v>145</v>
      </c>
      <c r="F67" s="31"/>
      <c r="G67" s="31"/>
      <c r="H67" s="31"/>
      <c r="I67" s="31"/>
      <c r="J67" s="31"/>
      <c r="K67" s="31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1"/>
      <c r="AD67" s="31"/>
      <c r="AE67" s="31"/>
    </row>
    <row r="68" spans="1:31" ht="15">
      <c r="A68" s="31"/>
      <c r="B68" s="31"/>
      <c r="C68" s="31"/>
      <c r="D68" s="31"/>
      <c r="E68" s="31"/>
      <c r="F68" s="31"/>
      <c r="G68" s="31"/>
      <c r="H68" s="39"/>
      <c r="I68" s="31"/>
      <c r="J68" s="31"/>
      <c r="K68" s="31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1"/>
      <c r="AD68" s="31"/>
      <c r="AE68" s="31"/>
    </row>
    <row r="69" spans="1:31" ht="15">
      <c r="A69" s="31"/>
      <c r="B69" s="31"/>
      <c r="C69" s="31"/>
      <c r="D69" s="31"/>
      <c r="E69" s="31"/>
      <c r="F69" s="31"/>
      <c r="G69" s="31"/>
      <c r="H69" s="39"/>
      <c r="I69" s="31"/>
      <c r="J69" s="31"/>
      <c r="K69" s="31"/>
      <c r="L69" s="54"/>
      <c r="M69" s="31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1"/>
      <c r="AD69" s="31"/>
      <c r="AE69" s="31"/>
    </row>
    <row r="70" spans="1:31" ht="15">
      <c r="A70" s="31"/>
      <c r="B70" s="31"/>
      <c r="C70" s="31"/>
      <c r="D70" s="31"/>
      <c r="E70" s="31"/>
      <c r="F70" s="31"/>
      <c r="G70" s="31"/>
      <c r="H70" s="39"/>
      <c r="I70" s="31"/>
      <c r="J70" s="31"/>
      <c r="K70" s="31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1"/>
      <c r="AD70" s="31"/>
      <c r="AE70" s="31"/>
    </row>
    <row r="71" spans="1:31" ht="15">
      <c r="A71" s="31"/>
      <c r="B71" s="31"/>
      <c r="C71" s="31"/>
      <c r="D71" s="31"/>
      <c r="E71" s="31"/>
      <c r="F71" s="31"/>
      <c r="G71" s="31"/>
      <c r="H71" s="39"/>
      <c r="I71" s="31"/>
      <c r="J71" s="31"/>
      <c r="K71" s="31"/>
      <c r="L71" s="39"/>
      <c r="M71" s="39"/>
      <c r="N71" s="140"/>
      <c r="O71" s="140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1"/>
      <c r="AD71" s="31"/>
      <c r="AE71" s="31"/>
    </row>
    <row r="72" spans="1:31" ht="15">
      <c r="A72" s="31"/>
      <c r="B72" s="31"/>
      <c r="C72" s="31"/>
      <c r="D72" s="31"/>
      <c r="E72" s="31"/>
      <c r="F72" s="141"/>
      <c r="G72" s="141"/>
      <c r="H72" s="141"/>
      <c r="I72" s="39"/>
      <c r="J72" s="39"/>
      <c r="K72" s="39"/>
      <c r="L72" s="39"/>
      <c r="M72" s="142"/>
      <c r="N72" s="142"/>
      <c r="O72" s="143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1"/>
      <c r="AD72" s="31"/>
      <c r="AE72" s="31"/>
    </row>
    <row r="73" spans="1:31" ht="15">
      <c r="A73" s="31"/>
      <c r="B73" s="31"/>
      <c r="C73" s="31"/>
      <c r="D73" s="31"/>
      <c r="E73" s="31"/>
      <c r="F73" s="144"/>
      <c r="G73" s="39"/>
      <c r="H73" s="74"/>
      <c r="I73" s="39"/>
      <c r="J73" s="39"/>
      <c r="K73" s="39"/>
      <c r="L73" s="39"/>
      <c r="M73" s="39"/>
      <c r="N73" s="39"/>
      <c r="O73" s="144"/>
      <c r="P73" s="39"/>
      <c r="Q73" s="74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1"/>
      <c r="AD73" s="31"/>
      <c r="AE73" s="31"/>
    </row>
    <row r="74" spans="6:28" ht="15">
      <c r="F74" s="5"/>
      <c r="G74" s="5"/>
      <c r="H74" s="5"/>
      <c r="I74" s="5"/>
      <c r="J74" s="5"/>
      <c r="K74" s="5"/>
      <c r="L74" s="1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6:28" ht="1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6:28" ht="1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6:28" ht="1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6:28" ht="1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4:28" ht="15">
      <c r="D81" s="5"/>
      <c r="I81" s="8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</sheetData>
  <sheetProtection/>
  <printOptions/>
  <pageMargins left="0.79" right="0.97" top="0.3" bottom="0.31" header="0.3" footer="0.28"/>
  <pageSetup horizontalDpi="300" verticalDpi="300" orientation="landscape" paperSize="9" scale="97" r:id="rId4"/>
  <headerFooter alignWithMargins="0">
    <oddFooter>&amp;L&amp;P&amp;C&amp;D&amp;R&amp;F&amp;A</oddFooter>
  </headerFooter>
  <rowBreaks count="1" manualBreakCount="1">
    <brk id="32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Endagars utfodringskontroll</dc:title>
  <dc:subject>Hjälpmedel i form av Excelprogram för Endagars foderstatskontroll, mjölkkor</dc:subject>
  <dc:creator>Maria  Åkerlind</dc:creator>
  <cp:keywords>Endagars utfodringskontroll Excelprogram Foderstatskontroll</cp:keywords>
  <dc:description/>
  <cp:lastModifiedBy>Ida Eriksson</cp:lastModifiedBy>
  <cp:lastPrinted>2011-04-13T10:52:06Z</cp:lastPrinted>
  <dcterms:created xsi:type="dcterms:W3CDTF">2000-05-03T19:47:34Z</dcterms:created>
  <dcterms:modified xsi:type="dcterms:W3CDTF">2011-04-13T10:52:19Z</dcterms:modified>
  <cp:category/>
  <cp:version/>
  <cp:contentType/>
  <cp:contentStatus/>
</cp:coreProperties>
</file>